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mra.sharepoint.com/sites/TOMRAGroupFinance/Shared Documents/IR/01. Quarterly reporting/4Q22/Børsmelding/"/>
    </mc:Choice>
  </mc:AlternateContent>
  <xr:revisionPtr revIDLastSave="0" documentId="8_{ACAC2547-3880-4847-8F8F-E264BF0DD8C8}" xr6:coauthVersionLast="47" xr6:coauthVersionMax="47" xr10:uidLastSave="{00000000-0000-0000-0000-000000000000}"/>
  <bookViews>
    <workbookView xWindow="-120" yWindow="-120" windowWidth="25440" windowHeight="15390" tabRatio="783" firstSheet="3" activeTab="3" xr2:uid="{00000000-000D-0000-FFFF-FFFF00000000}"/>
  </bookViews>
  <sheets>
    <sheet name="SUMMARY" sheetId="36" state="hidden" r:id="rId1"/>
    <sheet name="Rolling quarters" sheetId="35" state="hidden" r:id="rId2"/>
    <sheet name="Currency adjusted" sheetId="32" state="hidden" r:id="rId3"/>
    <sheet name="P&amp;L new format" sheetId="31" r:id="rId4"/>
    <sheet name="P&amp;L old format" sheetId="25" r:id="rId5"/>
    <sheet name="TSS Backlog Currency adjusted" sheetId="28" state="hidden" r:id="rId6"/>
    <sheet name="TSS Backlog II" sheetId="29" state="hidden" r:id="rId7"/>
  </sheets>
  <definedNames>
    <definedName name="_xlnm.Print_Area" localSheetId="2">'Currency adjusted'!$A$2:$M$91</definedName>
    <definedName name="_xlnm.Print_Area" localSheetId="3">'P&amp;L new format'!$A$1:$Y$117</definedName>
    <definedName name="_xlnm.Print_Area" localSheetId="4">'P&amp;L old format'!$A$1:$CG$97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35" l="1"/>
  <c r="N24" i="35"/>
  <c r="N22" i="35"/>
  <c r="N15" i="35"/>
  <c r="N13" i="35"/>
  <c r="N6" i="35"/>
  <c r="N4" i="35"/>
  <c r="K30" i="35" l="1"/>
  <c r="L30" i="35"/>
  <c r="K4" i="35"/>
  <c r="L4" i="35"/>
  <c r="K6" i="35"/>
  <c r="L6" i="35"/>
  <c r="K13" i="35"/>
  <c r="L13" i="35"/>
  <c r="K15" i="35"/>
  <c r="L15" i="35"/>
  <c r="K22" i="35"/>
  <c r="L22" i="35"/>
  <c r="K24" i="35"/>
  <c r="L24" i="35"/>
  <c r="K16" i="35" l="1"/>
  <c r="L7" i="35"/>
  <c r="K7" i="35"/>
  <c r="L16" i="35"/>
  <c r="K25" i="35"/>
  <c r="L25" i="35"/>
  <c r="N21" i="35" l="1"/>
  <c r="N12" i="35"/>
  <c r="N3" i="35" l="1"/>
  <c r="Y19" i="36" l="1"/>
  <c r="Y11" i="36"/>
  <c r="K31" i="36"/>
  <c r="J31" i="36"/>
  <c r="I31" i="36"/>
  <c r="K23" i="36"/>
  <c r="J23" i="36"/>
  <c r="I23" i="36"/>
  <c r="K15" i="36"/>
  <c r="J15" i="36"/>
  <c r="I15" i="36"/>
  <c r="H31" i="36"/>
  <c r="H23" i="36"/>
  <c r="H15" i="36"/>
  <c r="K7" i="36"/>
  <c r="J7" i="36"/>
  <c r="I7" i="36"/>
  <c r="H7" i="36"/>
  <c r="P30" i="36"/>
  <c r="P31" i="36" s="1"/>
  <c r="P22" i="36"/>
  <c r="P20" i="36"/>
  <c r="P23" i="36" s="1"/>
  <c r="P19" i="36"/>
  <c r="P14" i="36"/>
  <c r="P12" i="36"/>
  <c r="P11" i="36"/>
  <c r="P13" i="36" s="1"/>
  <c r="P6" i="36"/>
  <c r="P4" i="36"/>
  <c r="P3" i="36"/>
  <c r="K38" i="36"/>
  <c r="J38" i="36"/>
  <c r="I38" i="36"/>
  <c r="H38" i="36"/>
  <c r="H39" i="36" s="1"/>
  <c r="K36" i="36"/>
  <c r="K39" i="36" s="1"/>
  <c r="J36" i="36"/>
  <c r="I36" i="36"/>
  <c r="H36" i="36"/>
  <c r="K35" i="36"/>
  <c r="J35" i="36"/>
  <c r="I35" i="36"/>
  <c r="H35" i="36"/>
  <c r="L30" i="36"/>
  <c r="L28" i="36"/>
  <c r="L27" i="36"/>
  <c r="L22" i="36"/>
  <c r="L20" i="36"/>
  <c r="L23" i="36" s="1"/>
  <c r="L19" i="36"/>
  <c r="K10" i="36"/>
  <c r="K18" i="36" s="1"/>
  <c r="K26" i="36" s="1"/>
  <c r="K34" i="36" s="1"/>
  <c r="J10" i="36"/>
  <c r="J18" i="36" s="1"/>
  <c r="J26" i="36" s="1"/>
  <c r="J34" i="36" s="1"/>
  <c r="I10" i="36"/>
  <c r="I18" i="36" s="1"/>
  <c r="I26" i="36" s="1"/>
  <c r="I34" i="36" s="1"/>
  <c r="H10" i="36"/>
  <c r="H18" i="36" s="1"/>
  <c r="H26" i="36" s="1"/>
  <c r="H34" i="36" s="1"/>
  <c r="L14" i="36"/>
  <c r="L12" i="36"/>
  <c r="L11" i="36"/>
  <c r="L6" i="36"/>
  <c r="L4" i="36"/>
  <c r="L3" i="36"/>
  <c r="F30" i="36"/>
  <c r="R30" i="36" s="1"/>
  <c r="R31" i="36" s="1"/>
  <c r="F22" i="36"/>
  <c r="R22" i="36" s="1"/>
  <c r="F20" i="36"/>
  <c r="R20" i="36" s="1"/>
  <c r="F14" i="36"/>
  <c r="R14" i="36" s="1"/>
  <c r="F12" i="36"/>
  <c r="R12" i="36" s="1"/>
  <c r="P5" i="36"/>
  <c r="D38" i="36"/>
  <c r="D36" i="36"/>
  <c r="D35" i="36"/>
  <c r="E30" i="36"/>
  <c r="Q30" i="36" s="1"/>
  <c r="Q31" i="36" s="1"/>
  <c r="C30" i="36"/>
  <c r="C31" i="36" s="1"/>
  <c r="D31" i="36"/>
  <c r="C22" i="36"/>
  <c r="O22" i="36" s="1"/>
  <c r="C20" i="36"/>
  <c r="C19" i="36"/>
  <c r="O19" i="36" s="1"/>
  <c r="D23" i="36"/>
  <c r="D24" i="36" s="1"/>
  <c r="D21" i="36"/>
  <c r="C12" i="36"/>
  <c r="O12" i="36" s="1"/>
  <c r="C11" i="36"/>
  <c r="D15" i="36"/>
  <c r="D16" i="36" s="1"/>
  <c r="D13" i="36"/>
  <c r="C6" i="36"/>
  <c r="O6" i="36" s="1"/>
  <c r="D7" i="36"/>
  <c r="D8" i="36" s="1"/>
  <c r="D5" i="36"/>
  <c r="C4" i="36"/>
  <c r="C14" i="36"/>
  <c r="AR36" i="35"/>
  <c r="AR34" i="35"/>
  <c r="AR33" i="35"/>
  <c r="AR27" i="35"/>
  <c r="AR25" i="35"/>
  <c r="AR26" i="35" s="1"/>
  <c r="AR23" i="35"/>
  <c r="AR18" i="35"/>
  <c r="AR16" i="35"/>
  <c r="AR17" i="35" s="1"/>
  <c r="AR14" i="35"/>
  <c r="AR7" i="35"/>
  <c r="AR8" i="35" s="1"/>
  <c r="AR9" i="35"/>
  <c r="AR5" i="35"/>
  <c r="T141" i="35"/>
  <c r="T140" i="35"/>
  <c r="T138" i="35"/>
  <c r="T137" i="35"/>
  <c r="A136" i="35"/>
  <c r="E136" i="35"/>
  <c r="F136" i="35"/>
  <c r="G136" i="35"/>
  <c r="H136" i="35"/>
  <c r="I136" i="35"/>
  <c r="J136" i="35"/>
  <c r="K136" i="35"/>
  <c r="L136" i="35"/>
  <c r="M136" i="35"/>
  <c r="N136" i="35"/>
  <c r="O136" i="35"/>
  <c r="P136" i="35"/>
  <c r="Q136" i="35"/>
  <c r="A137" i="35"/>
  <c r="A138" i="35"/>
  <c r="A139" i="35"/>
  <c r="A140" i="35"/>
  <c r="A141" i="35"/>
  <c r="A142" i="35"/>
  <c r="A143" i="35"/>
  <c r="P15" i="35"/>
  <c r="Q15" i="35" s="1"/>
  <c r="O15" i="35"/>
  <c r="Q13" i="35"/>
  <c r="P13" i="35"/>
  <c r="AO13" i="35" s="1"/>
  <c r="O13" i="35"/>
  <c r="Q12" i="35"/>
  <c r="P12" i="35"/>
  <c r="O12" i="35"/>
  <c r="Q95" i="35"/>
  <c r="X34" i="35"/>
  <c r="X33" i="35"/>
  <c r="X7" i="35"/>
  <c r="X25" i="35"/>
  <c r="X15" i="35"/>
  <c r="X16" i="35" s="1"/>
  <c r="V3" i="35"/>
  <c r="Y3" i="35" s="1"/>
  <c r="N18" i="35"/>
  <c r="Q4" i="35"/>
  <c r="Q5" i="35" s="1"/>
  <c r="P4" i="35"/>
  <c r="AO4" i="35" s="1"/>
  <c r="O4" i="35"/>
  <c r="Q6" i="35"/>
  <c r="P6" i="35"/>
  <c r="O6" i="35"/>
  <c r="L34" i="35"/>
  <c r="O30" i="35"/>
  <c r="N16" i="35"/>
  <c r="N17" i="35" s="1"/>
  <c r="N14" i="35"/>
  <c r="O5" i="35"/>
  <c r="N5" i="35"/>
  <c r="L36" i="35"/>
  <c r="J30" i="35"/>
  <c r="AM30" i="35" s="1"/>
  <c r="I30" i="35"/>
  <c r="H30" i="35"/>
  <c r="AK30" i="35" s="1"/>
  <c r="G30" i="35"/>
  <c r="F30" i="35"/>
  <c r="D30" i="35"/>
  <c r="C30" i="35"/>
  <c r="B30" i="35"/>
  <c r="I24" i="35"/>
  <c r="H24" i="35"/>
  <c r="G24" i="35"/>
  <c r="AJ24" i="35" s="1"/>
  <c r="F24" i="35"/>
  <c r="D24" i="35"/>
  <c r="C24" i="35"/>
  <c r="B24" i="35"/>
  <c r="J22" i="35"/>
  <c r="I22" i="35"/>
  <c r="H22" i="35"/>
  <c r="AK22" i="35" s="1"/>
  <c r="G22" i="35"/>
  <c r="F22" i="35"/>
  <c r="E22" i="35"/>
  <c r="C22" i="35"/>
  <c r="B22" i="35"/>
  <c r="J15" i="35"/>
  <c r="AM15" i="35" s="1"/>
  <c r="I15" i="35"/>
  <c r="H15" i="35"/>
  <c r="G15" i="35"/>
  <c r="F15" i="35"/>
  <c r="E15" i="35"/>
  <c r="B15" i="35"/>
  <c r="J13" i="35"/>
  <c r="I13" i="35"/>
  <c r="H13" i="35"/>
  <c r="AK13" i="35" s="1"/>
  <c r="G13" i="35"/>
  <c r="F13" i="35"/>
  <c r="E13" i="35"/>
  <c r="C13" i="35"/>
  <c r="B13" i="35"/>
  <c r="J4" i="35"/>
  <c r="J6" i="35"/>
  <c r="G4" i="35"/>
  <c r="H4" i="35"/>
  <c r="G6" i="35"/>
  <c r="H6" i="35"/>
  <c r="F4" i="35"/>
  <c r="F6" i="35"/>
  <c r="C4" i="35"/>
  <c r="D4" i="35"/>
  <c r="C6" i="35"/>
  <c r="D6" i="35"/>
  <c r="B4" i="35"/>
  <c r="AN4" i="35"/>
  <c r="J21" i="35"/>
  <c r="AD39" i="32"/>
  <c r="K85" i="28"/>
  <c r="K84" i="28"/>
  <c r="AG85" i="32"/>
  <c r="AH85" i="32"/>
  <c r="AI85" i="32"/>
  <c r="AJ85" i="32"/>
  <c r="AH84" i="32"/>
  <c r="AI84" i="32"/>
  <c r="AJ84" i="32"/>
  <c r="AG84" i="32"/>
  <c r="AG40" i="32"/>
  <c r="AH40" i="32"/>
  <c r="AI40" i="32"/>
  <c r="AH42" i="32"/>
  <c r="AI42" i="32"/>
  <c r="AH39" i="32"/>
  <c r="AI39" i="32"/>
  <c r="AJ39" i="32"/>
  <c r="AG39" i="32"/>
  <c r="Q63" i="32"/>
  <c r="P63" i="32"/>
  <c r="AH63" i="32" s="1"/>
  <c r="O63" i="32"/>
  <c r="O64" i="32" s="1"/>
  <c r="Q56" i="32"/>
  <c r="Q57" i="32" s="1"/>
  <c r="P56" i="32"/>
  <c r="O56" i="32"/>
  <c r="Q58" i="32"/>
  <c r="AI58" i="32" s="1"/>
  <c r="P58" i="32"/>
  <c r="AH58" i="32" s="1"/>
  <c r="O58" i="32"/>
  <c r="AG58" i="32" s="1"/>
  <c r="R55" i="32"/>
  <c r="Q55" i="32"/>
  <c r="AI55" i="32" s="1"/>
  <c r="P55" i="32"/>
  <c r="AH55" i="32" s="1"/>
  <c r="O55" i="32"/>
  <c r="AG55" i="32" s="1"/>
  <c r="Q50" i="32"/>
  <c r="AI50" i="32" s="1"/>
  <c r="P50" i="32"/>
  <c r="AH50" i="32" s="1"/>
  <c r="O50" i="32"/>
  <c r="AG50" i="32" s="1"/>
  <c r="Q48" i="32"/>
  <c r="Q69" i="32" s="1"/>
  <c r="P48" i="32"/>
  <c r="AH48" i="32" s="1"/>
  <c r="O48" i="32"/>
  <c r="O51" i="32" s="1"/>
  <c r="R47" i="32"/>
  <c r="Q47" i="32"/>
  <c r="AI47" i="32" s="1"/>
  <c r="P47" i="32"/>
  <c r="O47" i="32"/>
  <c r="C68" i="32"/>
  <c r="C70" i="32" s="1"/>
  <c r="M48" i="32"/>
  <c r="M50" i="32"/>
  <c r="M56" i="32"/>
  <c r="M58" i="32"/>
  <c r="G58" i="32"/>
  <c r="G56" i="32"/>
  <c r="G50" i="32"/>
  <c r="G48" i="32"/>
  <c r="X71" i="32"/>
  <c r="W71" i="32"/>
  <c r="V71" i="32"/>
  <c r="U71" i="32"/>
  <c r="U72" i="32" s="1"/>
  <c r="U73" i="32" s="1"/>
  <c r="X69" i="32"/>
  <c r="W69" i="32"/>
  <c r="V69" i="32"/>
  <c r="U69" i="32"/>
  <c r="X68" i="32"/>
  <c r="W68" i="32"/>
  <c r="V68" i="32"/>
  <c r="V70" i="32" s="1"/>
  <c r="U68" i="32"/>
  <c r="K71" i="32"/>
  <c r="J71" i="32"/>
  <c r="I71" i="32"/>
  <c r="K69" i="32"/>
  <c r="K72" i="32" s="1"/>
  <c r="K73" i="32" s="1"/>
  <c r="J69" i="32"/>
  <c r="J72" i="32" s="1"/>
  <c r="J73" i="32" s="1"/>
  <c r="I69" i="32"/>
  <c r="L68" i="32"/>
  <c r="K68" i="32"/>
  <c r="J68" i="32"/>
  <c r="I68" i="32"/>
  <c r="E71" i="32"/>
  <c r="D71" i="32"/>
  <c r="E69" i="32"/>
  <c r="D69" i="32"/>
  <c r="D72" i="32" s="1"/>
  <c r="F68" i="32"/>
  <c r="E68" i="32"/>
  <c r="D68" i="32"/>
  <c r="C69" i="32"/>
  <c r="M63" i="32"/>
  <c r="F63" i="32"/>
  <c r="R63" i="32" s="1"/>
  <c r="X51" i="32"/>
  <c r="X52" i="32" s="1"/>
  <c r="W51" i="32"/>
  <c r="W52" i="32" s="1"/>
  <c r="V51" i="32"/>
  <c r="V52" i="32" s="1"/>
  <c r="U51" i="32"/>
  <c r="U52" i="32" s="1"/>
  <c r="L51" i="32"/>
  <c r="L52" i="32" s="1"/>
  <c r="K51" i="32"/>
  <c r="K52" i="32" s="1"/>
  <c r="J51" i="32"/>
  <c r="J52" i="32"/>
  <c r="I51" i="32"/>
  <c r="I52" i="32" s="1"/>
  <c r="E51" i="32"/>
  <c r="E52" i="32" s="1"/>
  <c r="D51" i="32"/>
  <c r="C51" i="32"/>
  <c r="C52" i="32" s="1"/>
  <c r="Y50" i="32"/>
  <c r="X49" i="32"/>
  <c r="W49" i="32"/>
  <c r="V49" i="32"/>
  <c r="U49" i="32"/>
  <c r="L49" i="32"/>
  <c r="K49" i="32"/>
  <c r="J49" i="32"/>
  <c r="I49" i="32"/>
  <c r="E49" i="32"/>
  <c r="D49" i="32"/>
  <c r="C49" i="32"/>
  <c r="Y48" i="32"/>
  <c r="Y51" i="32" s="1"/>
  <c r="Y52" i="32" s="1"/>
  <c r="F51" i="32"/>
  <c r="F52" i="32" s="1"/>
  <c r="Y47" i="32"/>
  <c r="M47" i="32"/>
  <c r="X64" i="32"/>
  <c r="W64" i="32"/>
  <c r="V64" i="32"/>
  <c r="U64" i="32"/>
  <c r="M64" i="32"/>
  <c r="K64" i="32"/>
  <c r="J64" i="32"/>
  <c r="I64" i="32"/>
  <c r="E64" i="32"/>
  <c r="D64" i="32"/>
  <c r="C64" i="32"/>
  <c r="Y63" i="32"/>
  <c r="Y64" i="32" s="1"/>
  <c r="L64" i="32"/>
  <c r="X59" i="32"/>
  <c r="X60" i="32" s="1"/>
  <c r="W59" i="32"/>
  <c r="W60" i="32" s="1"/>
  <c r="V59" i="32"/>
  <c r="V60" i="32" s="1"/>
  <c r="U59" i="32"/>
  <c r="U60" i="32" s="1"/>
  <c r="K59" i="32"/>
  <c r="K60" i="32" s="1"/>
  <c r="J59" i="32"/>
  <c r="J60" i="32" s="1"/>
  <c r="I59" i="32"/>
  <c r="I60" i="32" s="1"/>
  <c r="E59" i="32"/>
  <c r="E60" i="32" s="1"/>
  <c r="D59" i="32"/>
  <c r="D60" i="32" s="1"/>
  <c r="C59" i="32"/>
  <c r="C60" i="32" s="1"/>
  <c r="Y58" i="32"/>
  <c r="X57" i="32"/>
  <c r="W57" i="32"/>
  <c r="V57" i="32"/>
  <c r="U57" i="32"/>
  <c r="K57" i="32"/>
  <c r="J57" i="32"/>
  <c r="I57" i="32"/>
  <c r="E57" i="32"/>
  <c r="D57" i="32"/>
  <c r="C57" i="32"/>
  <c r="Y56" i="32"/>
  <c r="Y59" i="32" s="1"/>
  <c r="L59" i="32"/>
  <c r="L60" i="32" s="1"/>
  <c r="F59" i="32"/>
  <c r="F60" i="32" s="1"/>
  <c r="Y55" i="32"/>
  <c r="M55" i="32"/>
  <c r="G55" i="32"/>
  <c r="AA55" i="32" s="1"/>
  <c r="X43" i="32"/>
  <c r="X44" i="32" s="1"/>
  <c r="W43" i="32"/>
  <c r="W44" i="32" s="1"/>
  <c r="V43" i="32"/>
  <c r="V44" i="32" s="1"/>
  <c r="U43" i="32"/>
  <c r="U44" i="32" s="1"/>
  <c r="Q43" i="32"/>
  <c r="Q44" i="32" s="1"/>
  <c r="P43" i="32"/>
  <c r="O43" i="32"/>
  <c r="O44" i="32" s="1"/>
  <c r="M43" i="32"/>
  <c r="K43" i="32"/>
  <c r="K44" i="32" s="1"/>
  <c r="J43" i="32"/>
  <c r="J44" i="32" s="1"/>
  <c r="I43" i="32"/>
  <c r="I44" i="32" s="1"/>
  <c r="E43" i="32"/>
  <c r="E44" i="32" s="1"/>
  <c r="D43" i="32"/>
  <c r="D44" i="32" s="1"/>
  <c r="Y42" i="32"/>
  <c r="R42" i="32"/>
  <c r="L42" i="32"/>
  <c r="L71" i="32" s="1"/>
  <c r="G42" i="32"/>
  <c r="C42" i="32"/>
  <c r="C71" i="32" s="1"/>
  <c r="X41" i="32"/>
  <c r="W41" i="32"/>
  <c r="V41" i="32"/>
  <c r="U41" i="32"/>
  <c r="R41" i="32"/>
  <c r="Q41" i="32"/>
  <c r="P41" i="32"/>
  <c r="O41" i="32"/>
  <c r="K41" i="32"/>
  <c r="J41" i="32"/>
  <c r="I41" i="32"/>
  <c r="E41" i="32"/>
  <c r="D41" i="32"/>
  <c r="C41" i="32"/>
  <c r="Y40" i="32"/>
  <c r="S40" i="32"/>
  <c r="L40" i="32"/>
  <c r="L41" i="32" s="1"/>
  <c r="G40" i="32"/>
  <c r="F40" i="32" s="1"/>
  <c r="F41" i="32" s="1"/>
  <c r="Y39" i="32"/>
  <c r="S39" i="32"/>
  <c r="M39" i="32"/>
  <c r="AB39" i="32" s="1"/>
  <c r="G39" i="32"/>
  <c r="R9" i="32"/>
  <c r="L69" i="32"/>
  <c r="AJ47" i="32"/>
  <c r="AD47" i="32"/>
  <c r="M41" i="32"/>
  <c r="G63" i="32"/>
  <c r="G64" i="32" s="1"/>
  <c r="F64" i="32"/>
  <c r="V72" i="32"/>
  <c r="V73" i="32" s="1"/>
  <c r="G51" i="32"/>
  <c r="P69" i="32"/>
  <c r="AH69" i="32" s="1"/>
  <c r="AH56" i="32"/>
  <c r="P59" i="32"/>
  <c r="P51" i="32"/>
  <c r="G47" i="32"/>
  <c r="D52" i="32"/>
  <c r="M68" i="32"/>
  <c r="F49" i="32"/>
  <c r="L57" i="32"/>
  <c r="F57" i="32"/>
  <c r="X30" i="32"/>
  <c r="W30" i="32"/>
  <c r="V30" i="32"/>
  <c r="U30" i="32"/>
  <c r="X28" i="32"/>
  <c r="W28" i="32"/>
  <c r="V28" i="32"/>
  <c r="U28" i="32"/>
  <c r="X27" i="32"/>
  <c r="X29" i="32" s="1"/>
  <c r="W27" i="32"/>
  <c r="V27" i="32"/>
  <c r="U27" i="32"/>
  <c r="Q30" i="32"/>
  <c r="P30" i="32"/>
  <c r="O30" i="32"/>
  <c r="R28" i="32"/>
  <c r="Q28" i="32"/>
  <c r="Q31" i="32" s="1"/>
  <c r="Q32" i="32" s="1"/>
  <c r="P28" i="32"/>
  <c r="P77" i="32" s="1"/>
  <c r="O28" i="32"/>
  <c r="R27" i="32"/>
  <c r="Q27" i="32"/>
  <c r="P27" i="32"/>
  <c r="O27" i="32"/>
  <c r="K30" i="32"/>
  <c r="K79" i="32" s="1"/>
  <c r="J30" i="32"/>
  <c r="J79" i="32" s="1"/>
  <c r="I30" i="32"/>
  <c r="I79" i="32" s="1"/>
  <c r="K28" i="32"/>
  <c r="J28" i="32"/>
  <c r="I28" i="32"/>
  <c r="L27" i="32"/>
  <c r="K27" i="32"/>
  <c r="J27" i="32"/>
  <c r="J76" i="32" s="1"/>
  <c r="I27" i="32"/>
  <c r="E30" i="32"/>
  <c r="E79" i="32" s="1"/>
  <c r="D30" i="32"/>
  <c r="D79" i="32"/>
  <c r="E28" i="32"/>
  <c r="D28" i="32"/>
  <c r="F27" i="32"/>
  <c r="F76" i="32" s="1"/>
  <c r="E27" i="32"/>
  <c r="D27" i="32"/>
  <c r="C28" i="32"/>
  <c r="C77" i="32" s="1"/>
  <c r="C27" i="32"/>
  <c r="X23" i="32"/>
  <c r="W23" i="32"/>
  <c r="V23" i="32"/>
  <c r="U23" i="32"/>
  <c r="Y22" i="32"/>
  <c r="Y23" i="32" s="1"/>
  <c r="X18" i="32"/>
  <c r="X19" i="32" s="1"/>
  <c r="W18" i="32"/>
  <c r="W19" i="32" s="1"/>
  <c r="V18" i="32"/>
  <c r="V19" i="32" s="1"/>
  <c r="U18" i="32"/>
  <c r="U19" i="32" s="1"/>
  <c r="Y17" i="32"/>
  <c r="X16" i="32"/>
  <c r="W16" i="32"/>
  <c r="V16" i="32"/>
  <c r="U16" i="32"/>
  <c r="Y15" i="32"/>
  <c r="Y14" i="32"/>
  <c r="X10" i="32"/>
  <c r="X11" i="32" s="1"/>
  <c r="W10" i="32"/>
  <c r="W11" i="32" s="1"/>
  <c r="V10" i="32"/>
  <c r="V11" i="32"/>
  <c r="U10" i="32"/>
  <c r="U11" i="32" s="1"/>
  <c r="Y9" i="32"/>
  <c r="X8" i="32"/>
  <c r="W8" i="32"/>
  <c r="V8" i="32"/>
  <c r="U8" i="32"/>
  <c r="Y7" i="32"/>
  <c r="Y6" i="32"/>
  <c r="S17" i="32"/>
  <c r="S18" i="32" s="1"/>
  <c r="S15" i="32"/>
  <c r="S9" i="32"/>
  <c r="S7" i="32"/>
  <c r="S22" i="32"/>
  <c r="Q23" i="32"/>
  <c r="P23" i="32"/>
  <c r="O23" i="32"/>
  <c r="R23" i="32"/>
  <c r="Q18" i="32"/>
  <c r="Q19" i="32"/>
  <c r="P18" i="32"/>
  <c r="P19" i="32" s="1"/>
  <c r="O18" i="32"/>
  <c r="O19" i="32" s="1"/>
  <c r="Q16" i="32"/>
  <c r="P16" i="32"/>
  <c r="O16" i="32"/>
  <c r="R18" i="32"/>
  <c r="R19" i="32" s="1"/>
  <c r="S14" i="32"/>
  <c r="S16" i="32" s="1"/>
  <c r="Q10" i="32"/>
  <c r="Q11" i="32" s="1"/>
  <c r="P10" i="32"/>
  <c r="P11" i="32" s="1"/>
  <c r="Q8" i="32"/>
  <c r="P8" i="32"/>
  <c r="O8" i="32"/>
  <c r="S6" i="32"/>
  <c r="M14" i="32"/>
  <c r="M16" i="32" s="1"/>
  <c r="G14" i="32"/>
  <c r="G16" i="32" s="1"/>
  <c r="M6" i="32"/>
  <c r="G6" i="32"/>
  <c r="G85" i="32"/>
  <c r="AK85" i="32" s="1"/>
  <c r="G84" i="32"/>
  <c r="AK84" i="32" s="1"/>
  <c r="M23" i="32"/>
  <c r="K23" i="32"/>
  <c r="J23" i="32"/>
  <c r="I23" i="32"/>
  <c r="E23" i="32"/>
  <c r="D23" i="32"/>
  <c r="C23" i="32"/>
  <c r="L22" i="32"/>
  <c r="L23" i="32" s="1"/>
  <c r="M18" i="32"/>
  <c r="K18" i="32"/>
  <c r="K19" i="32" s="1"/>
  <c r="J18" i="32"/>
  <c r="I18" i="32"/>
  <c r="G18" i="32"/>
  <c r="G19" i="32" s="1"/>
  <c r="E18" i="32"/>
  <c r="E19" i="32" s="1"/>
  <c r="D18" i="32"/>
  <c r="C18" i="32"/>
  <c r="L17" i="32"/>
  <c r="F17" i="32"/>
  <c r="R58" i="32" s="1"/>
  <c r="AJ58" i="32" s="1"/>
  <c r="L15" i="32"/>
  <c r="L16" i="32" s="1"/>
  <c r="F15" i="32"/>
  <c r="K16" i="32"/>
  <c r="J16" i="32"/>
  <c r="I16" i="32"/>
  <c r="E16" i="32"/>
  <c r="D16" i="32"/>
  <c r="C16" i="32"/>
  <c r="M10" i="32"/>
  <c r="K10" i="32"/>
  <c r="K11" i="32" s="1"/>
  <c r="J10" i="32"/>
  <c r="J11" i="32" s="1"/>
  <c r="I10" i="32"/>
  <c r="I11" i="32" s="1"/>
  <c r="E10" i="32"/>
  <c r="D10" i="32"/>
  <c r="L9" i="32"/>
  <c r="G9" i="32"/>
  <c r="C9" i="32"/>
  <c r="C10" i="32" s="1"/>
  <c r="C11" i="32" s="1"/>
  <c r="L7" i="32"/>
  <c r="G7" i="32"/>
  <c r="K8" i="32"/>
  <c r="R56" i="32"/>
  <c r="R48" i="32"/>
  <c r="E31" i="32"/>
  <c r="C30" i="32"/>
  <c r="C31" i="32" s="1"/>
  <c r="I31" i="32"/>
  <c r="I32" i="32" s="1"/>
  <c r="I29" i="32"/>
  <c r="P31" i="32"/>
  <c r="P29" i="32"/>
  <c r="R8" i="32"/>
  <c r="O10" i="32"/>
  <c r="O11" i="32"/>
  <c r="R16" i="32"/>
  <c r="S23" i="32"/>
  <c r="J8" i="32"/>
  <c r="C8" i="32"/>
  <c r="E8" i="32"/>
  <c r="J19" i="32"/>
  <c r="D8" i="32"/>
  <c r="I8" i="32"/>
  <c r="D11" i="32"/>
  <c r="E11" i="32"/>
  <c r="C19" i="32"/>
  <c r="D19" i="32"/>
  <c r="I19" i="32"/>
  <c r="AJ56" i="32"/>
  <c r="F16" i="32"/>
  <c r="M8" i="32"/>
  <c r="D22" i="35"/>
  <c r="E30" i="35"/>
  <c r="D15" i="35"/>
  <c r="I4" i="35"/>
  <c r="C12" i="35"/>
  <c r="N24" i="29"/>
  <c r="N22" i="29"/>
  <c r="N18" i="29"/>
  <c r="B49" i="28"/>
  <c r="R62" i="29"/>
  <c r="R61" i="29"/>
  <c r="R59" i="29"/>
  <c r="R58" i="29"/>
  <c r="H74" i="29"/>
  <c r="H73" i="29"/>
  <c r="H69" i="29"/>
  <c r="H68" i="29"/>
  <c r="H67" i="29"/>
  <c r="I65" i="29"/>
  <c r="H60" i="29"/>
  <c r="H59" i="29"/>
  <c r="I57" i="29"/>
  <c r="V33" i="29"/>
  <c r="V34" i="29" s="1"/>
  <c r="V32" i="29"/>
  <c r="I33" i="29"/>
  <c r="I34" i="29" s="1"/>
  <c r="M34" i="29"/>
  <c r="L34" i="29"/>
  <c r="K34" i="29"/>
  <c r="J34" i="29"/>
  <c r="H34" i="29"/>
  <c r="G34" i="29"/>
  <c r="R60" i="29"/>
  <c r="N41" i="29"/>
  <c r="B48" i="28"/>
  <c r="R15" i="29"/>
  <c r="R14" i="29"/>
  <c r="Q15" i="29"/>
  <c r="Q14" i="29"/>
  <c r="M39" i="29"/>
  <c r="I39" i="29"/>
  <c r="M40" i="29"/>
  <c r="M41" i="29" s="1"/>
  <c r="I40" i="29"/>
  <c r="M18" i="29"/>
  <c r="L40" i="29"/>
  <c r="L39" i="29"/>
  <c r="M24" i="29"/>
  <c r="M22" i="29"/>
  <c r="L24" i="29"/>
  <c r="K24" i="29"/>
  <c r="L22" i="29"/>
  <c r="L18" i="29"/>
  <c r="B57" i="29"/>
  <c r="C58" i="29" s="1"/>
  <c r="C69" i="29" s="1"/>
  <c r="C67" i="29"/>
  <c r="C64" i="29"/>
  <c r="C61" i="29"/>
  <c r="D47" i="28"/>
  <c r="H39" i="29"/>
  <c r="H40" i="29"/>
  <c r="J39" i="29"/>
  <c r="R39" i="29" s="1"/>
  <c r="J40" i="29"/>
  <c r="R40" i="29" s="1"/>
  <c r="G41" i="29"/>
  <c r="K41" i="29"/>
  <c r="B47" i="28"/>
  <c r="D46" i="28"/>
  <c r="B22" i="29"/>
  <c r="C18" i="29"/>
  <c r="J24" i="29"/>
  <c r="I24" i="29"/>
  <c r="H24" i="29"/>
  <c r="G24" i="29"/>
  <c r="F24" i="29"/>
  <c r="E24" i="29"/>
  <c r="D24" i="29"/>
  <c r="C24" i="29"/>
  <c r="K22" i="29"/>
  <c r="D18" i="29"/>
  <c r="E18" i="29"/>
  <c r="F18" i="29"/>
  <c r="G18" i="29"/>
  <c r="H18" i="29"/>
  <c r="I18" i="29"/>
  <c r="J18" i="29"/>
  <c r="K18" i="29"/>
  <c r="J11" i="29"/>
  <c r="I11" i="29"/>
  <c r="V36" i="29" s="1"/>
  <c r="H11" i="29"/>
  <c r="G11" i="29"/>
  <c r="F11" i="29"/>
  <c r="E11" i="29"/>
  <c r="D11" i="29"/>
  <c r="J10" i="29"/>
  <c r="J22" i="29" s="1"/>
  <c r="I10" i="29"/>
  <c r="H10" i="29"/>
  <c r="H22" i="29" s="1"/>
  <c r="G10" i="29"/>
  <c r="G22" i="29" s="1"/>
  <c r="F10" i="29"/>
  <c r="F22" i="29" s="1"/>
  <c r="E10" i="29"/>
  <c r="E22" i="29" s="1"/>
  <c r="D10" i="29"/>
  <c r="D22" i="29" s="1"/>
  <c r="C10" i="29"/>
  <c r="C22" i="29" s="1"/>
  <c r="D23" i="29" s="1"/>
  <c r="C11" i="29"/>
  <c r="F46" i="28"/>
  <c r="X16" i="28"/>
  <c r="X25" i="28" s="1"/>
  <c r="X15" i="28"/>
  <c r="B46" i="28"/>
  <c r="X20" i="28"/>
  <c r="X26" i="28" s="1"/>
  <c r="X34" i="28" s="1"/>
  <c r="B45" i="28"/>
  <c r="X14" i="28" s="1"/>
  <c r="D44" i="28"/>
  <c r="B44" i="28"/>
  <c r="B43" i="28"/>
  <c r="B42" i="28"/>
  <c r="D41" i="28"/>
  <c r="B41" i="28"/>
  <c r="B40" i="28"/>
  <c r="AL39" i="28"/>
  <c r="D39" i="28"/>
  <c r="B39" i="28"/>
  <c r="F38" i="28"/>
  <c r="E38" i="28"/>
  <c r="D38" i="28"/>
  <c r="C38" i="28"/>
  <c r="B38" i="28"/>
  <c r="F37" i="28"/>
  <c r="D37" i="28"/>
  <c r="B37" i="28"/>
  <c r="F36" i="28"/>
  <c r="Q36" i="28" s="1"/>
  <c r="D36" i="28"/>
  <c r="B36" i="28"/>
  <c r="O36" i="28" s="1"/>
  <c r="AK35" i="28"/>
  <c r="AJ35" i="28"/>
  <c r="F35" i="28"/>
  <c r="Q35" i="28" s="1"/>
  <c r="D35" i="28"/>
  <c r="B35" i="28"/>
  <c r="AO34" i="28"/>
  <c r="AL34" i="28"/>
  <c r="Q34" i="28"/>
  <c r="O34" i="28"/>
  <c r="I34" i="28"/>
  <c r="AL33" i="28"/>
  <c r="Q33" i="28"/>
  <c r="O33" i="28"/>
  <c r="Q32" i="28"/>
  <c r="B32" i="28"/>
  <c r="D33" i="28" s="1"/>
  <c r="I33" i="28" s="1"/>
  <c r="Q31" i="28"/>
  <c r="B31" i="28"/>
  <c r="D31" i="28" s="1"/>
  <c r="I31" i="28" s="1"/>
  <c r="Q30" i="28"/>
  <c r="B30" i="28"/>
  <c r="O30" i="28" s="1"/>
  <c r="Q29" i="28"/>
  <c r="B29" i="28"/>
  <c r="Q28" i="28"/>
  <c r="B28" i="28"/>
  <c r="Q27" i="28"/>
  <c r="B27" i="28"/>
  <c r="AO26" i="28"/>
  <c r="Q26" i="28"/>
  <c r="B26" i="28"/>
  <c r="Q25" i="28"/>
  <c r="O25" i="28"/>
  <c r="I25" i="28"/>
  <c r="Y24" i="28"/>
  <c r="X29" i="28" s="1"/>
  <c r="X31" i="28" s="1"/>
  <c r="X33" i="28" s="1"/>
  <c r="Q24" i="28"/>
  <c r="O24" i="28"/>
  <c r="I24" i="28"/>
  <c r="Q23" i="28"/>
  <c r="O23" i="28"/>
  <c r="I23" i="28"/>
  <c r="Q22" i="28"/>
  <c r="O22" i="28"/>
  <c r="I22" i="28"/>
  <c r="Q21" i="28"/>
  <c r="O21" i="28"/>
  <c r="I21" i="28"/>
  <c r="Q20" i="28"/>
  <c r="O20" i="28"/>
  <c r="I20" i="28"/>
  <c r="Q19" i="28"/>
  <c r="O19" i="28"/>
  <c r="I19" i="28"/>
  <c r="Q18" i="28"/>
  <c r="O18" i="28"/>
  <c r="I18" i="28"/>
  <c r="Q17" i="28"/>
  <c r="O17" i="28"/>
  <c r="I17" i="28"/>
  <c r="Z16" i="28"/>
  <c r="O16" i="28"/>
  <c r="F16" i="28"/>
  <c r="Q16" i="28" s="1"/>
  <c r="Q15" i="28"/>
  <c r="D15" i="28"/>
  <c r="I15" i="28" s="1"/>
  <c r="B15" i="28"/>
  <c r="Q14" i="28"/>
  <c r="O14" i="28"/>
  <c r="I14" i="28"/>
  <c r="Q13" i="28"/>
  <c r="O13" i="28"/>
  <c r="I13" i="28"/>
  <c r="Q12" i="28"/>
  <c r="O12" i="28"/>
  <c r="I12" i="28"/>
  <c r="Q11" i="28"/>
  <c r="O11" i="28"/>
  <c r="I11" i="28"/>
  <c r="Q10" i="28"/>
  <c r="O10" i="28"/>
  <c r="I10" i="28"/>
  <c r="Q9" i="28"/>
  <c r="O9" i="28"/>
  <c r="I9" i="28"/>
  <c r="Q8" i="28"/>
  <c r="O8" i="28"/>
  <c r="I8" i="28"/>
  <c r="Q7" i="28"/>
  <c r="O7" i="28"/>
  <c r="I7" i="28"/>
  <c r="Q6" i="28"/>
  <c r="O6" i="28"/>
  <c r="I6" i="28"/>
  <c r="Q5" i="28"/>
  <c r="O5" i="28"/>
  <c r="I5" i="28"/>
  <c r="Q4" i="28"/>
  <c r="O4" i="28"/>
  <c r="I4" i="28"/>
  <c r="Q3" i="28"/>
  <c r="O3" i="28"/>
  <c r="I3" i="28"/>
  <c r="Q2" i="28"/>
  <c r="P2" i="28"/>
  <c r="O2" i="28"/>
  <c r="I2" i="28"/>
  <c r="P11" i="28"/>
  <c r="P46" i="28"/>
  <c r="O46" i="28"/>
  <c r="O26" i="28"/>
  <c r="O32" i="28"/>
  <c r="O27" i="28"/>
  <c r="I45" i="28"/>
  <c r="Z17" i="28"/>
  <c r="Z26" i="28" s="1"/>
  <c r="Z25" i="28"/>
  <c r="X38" i="28"/>
  <c r="Z38" i="28" s="1"/>
  <c r="Z39" i="28" s="1"/>
  <c r="Y15" i="28"/>
  <c r="F23" i="32"/>
  <c r="G22" i="32"/>
  <c r="G23" i="32" s="1"/>
  <c r="E12" i="35" l="1"/>
  <c r="E18" i="35" s="1"/>
  <c r="B21" i="35"/>
  <c r="B27" i="35" s="1"/>
  <c r="M30" i="35"/>
  <c r="N122" i="35" s="1"/>
  <c r="K36" i="29"/>
  <c r="K49" i="29" s="1"/>
  <c r="K51" i="29" s="1"/>
  <c r="I6" i="35"/>
  <c r="K3" i="35"/>
  <c r="K9" i="35" s="1"/>
  <c r="K12" i="35"/>
  <c r="K17" i="35" s="1"/>
  <c r="G25" i="35"/>
  <c r="AJ25" i="35" s="1"/>
  <c r="M13" i="35"/>
  <c r="N105" i="35" s="1"/>
  <c r="L36" i="36"/>
  <c r="D21" i="35"/>
  <c r="D27" i="35" s="1"/>
  <c r="F9" i="32"/>
  <c r="F30" i="32" s="1"/>
  <c r="E76" i="32"/>
  <c r="U79" i="32"/>
  <c r="E72" i="32"/>
  <c r="M15" i="35"/>
  <c r="O107" i="35" s="1"/>
  <c r="F21" i="35"/>
  <c r="F23" i="35" s="1"/>
  <c r="W31" i="32"/>
  <c r="M4" i="35"/>
  <c r="N96" i="35" s="1"/>
  <c r="P36" i="36"/>
  <c r="G12" i="35"/>
  <c r="AF12" i="35" s="1"/>
  <c r="G59" i="32"/>
  <c r="M6" i="35"/>
  <c r="O98" i="35" s="1"/>
  <c r="P38" i="36"/>
  <c r="D28" i="28"/>
  <c r="I28" i="28" s="1"/>
  <c r="H12" i="35"/>
  <c r="H18" i="35" s="1"/>
  <c r="C32" i="32"/>
  <c r="F3" i="35"/>
  <c r="F9" i="35" s="1"/>
  <c r="E11" i="36"/>
  <c r="Q11" i="36" s="1"/>
  <c r="D3" i="35"/>
  <c r="D5" i="35" s="1"/>
  <c r="E19" i="36"/>
  <c r="Q19" i="36" s="1"/>
  <c r="E24" i="35"/>
  <c r="S24" i="35" s="1"/>
  <c r="P15" i="36"/>
  <c r="P9" i="28"/>
  <c r="M49" i="32"/>
  <c r="M22" i="35"/>
  <c r="AL22" i="35" s="1"/>
  <c r="B16" i="35"/>
  <c r="R34" i="29"/>
  <c r="I69" i="29"/>
  <c r="I71" i="29" s="1"/>
  <c r="L30" i="32"/>
  <c r="L79" i="32" s="1"/>
  <c r="M19" i="32"/>
  <c r="Y16" i="32"/>
  <c r="C29" i="32"/>
  <c r="E3" i="36"/>
  <c r="P5" i="35"/>
  <c r="D29" i="28"/>
  <c r="I29" i="28" s="1"/>
  <c r="Y60" i="32"/>
  <c r="O28" i="28"/>
  <c r="D27" i="28"/>
  <c r="Q39" i="29"/>
  <c r="R50" i="32"/>
  <c r="AJ50" i="32" s="1"/>
  <c r="G43" i="32"/>
  <c r="G44" i="32" s="1"/>
  <c r="U15" i="35"/>
  <c r="AS15" i="35" s="1"/>
  <c r="Q14" i="35"/>
  <c r="P13" i="28"/>
  <c r="L36" i="29"/>
  <c r="F18" i="32"/>
  <c r="F19" i="32" s="1"/>
  <c r="P14" i="35"/>
  <c r="X36" i="35"/>
  <c r="AG51" i="32"/>
  <c r="C25" i="35"/>
  <c r="AL35" i="28"/>
  <c r="AL41" i="28" s="1"/>
  <c r="I41" i="28"/>
  <c r="P57" i="32"/>
  <c r="M51" i="32"/>
  <c r="M52" i="32" s="1"/>
  <c r="AH13" i="35"/>
  <c r="P107" i="35"/>
  <c r="AI15" i="35"/>
  <c r="D26" i="28"/>
  <c r="AG7" i="28" s="1"/>
  <c r="AG22" i="28" s="1"/>
  <c r="O29" i="28"/>
  <c r="P30" i="28" s="1"/>
  <c r="L41" i="29"/>
  <c r="D77" i="32"/>
  <c r="M44" i="32"/>
  <c r="I42" i="28"/>
  <c r="X76" i="32"/>
  <c r="C76" i="32"/>
  <c r="AE39" i="32"/>
  <c r="P35" i="36"/>
  <c r="P16" i="36"/>
  <c r="P21" i="28"/>
  <c r="I77" i="32"/>
  <c r="Y71" i="32"/>
  <c r="AI69" i="32"/>
  <c r="D37" i="36"/>
  <c r="J39" i="36"/>
  <c r="P19" i="28"/>
  <c r="P33" i="28"/>
  <c r="I38" i="28"/>
  <c r="I39" i="28"/>
  <c r="R29" i="32"/>
  <c r="G60" i="32"/>
  <c r="O30" i="36"/>
  <c r="O31" i="36" s="1"/>
  <c r="L35" i="36"/>
  <c r="I27" i="28"/>
  <c r="P3" i="28"/>
  <c r="M11" i="32"/>
  <c r="Y68" i="32"/>
  <c r="L15" i="36"/>
  <c r="P6" i="28"/>
  <c r="P14" i="28"/>
  <c r="P18" i="28"/>
  <c r="P22" i="28"/>
  <c r="K44" i="29"/>
  <c r="K50" i="29" s="1"/>
  <c r="K52" i="29" s="1"/>
  <c r="M43" i="29"/>
  <c r="M27" i="32"/>
  <c r="E70" i="32"/>
  <c r="P71" i="32"/>
  <c r="X37" i="35"/>
  <c r="Q105" i="35"/>
  <c r="I39" i="36"/>
  <c r="I16" i="28"/>
  <c r="I47" i="28"/>
  <c r="L76" i="32"/>
  <c r="V79" i="32"/>
  <c r="M57" i="32"/>
  <c r="AG48" i="32"/>
  <c r="L31" i="36"/>
  <c r="P7" i="36"/>
  <c r="P8" i="36" s="1"/>
  <c r="AR35" i="35"/>
  <c r="AR37" i="35"/>
  <c r="AR38" i="35" s="1"/>
  <c r="K23" i="29"/>
  <c r="K26" i="29" s="1"/>
  <c r="L23" i="29"/>
  <c r="L26" i="29" s="1"/>
  <c r="W72" i="32"/>
  <c r="W73" i="32" s="1"/>
  <c r="W70" i="32"/>
  <c r="AH47" i="32"/>
  <c r="P68" i="32"/>
  <c r="P70" i="32" s="1"/>
  <c r="S47" i="32"/>
  <c r="AB47" i="32" s="1"/>
  <c r="P49" i="32"/>
  <c r="E29" i="32"/>
  <c r="V77" i="32"/>
  <c r="V31" i="32"/>
  <c r="V80" i="32" s="1"/>
  <c r="X72" i="32"/>
  <c r="X73" i="32" s="1"/>
  <c r="X70" i="32"/>
  <c r="G71" i="32"/>
  <c r="Q59" i="32"/>
  <c r="Q60" i="32" s="1"/>
  <c r="Q104" i="35"/>
  <c r="V12" i="35"/>
  <c r="Y12" i="35" s="1"/>
  <c r="D30" i="28"/>
  <c r="I49" i="28"/>
  <c r="I48" i="28"/>
  <c r="Y18" i="32"/>
  <c r="Y19" i="32" s="1"/>
  <c r="Q29" i="32"/>
  <c r="F69" i="32"/>
  <c r="F70" i="32" s="1"/>
  <c r="Q68" i="32"/>
  <c r="AI68" i="32" s="1"/>
  <c r="R10" i="32"/>
  <c r="R11" i="32" s="1"/>
  <c r="R30" i="32"/>
  <c r="R31" i="32" s="1"/>
  <c r="R32" i="32" s="1"/>
  <c r="Y41" i="32"/>
  <c r="Y43" i="32"/>
  <c r="Y44" i="32" s="1"/>
  <c r="AG42" i="32"/>
  <c r="C43" i="32"/>
  <c r="U31" i="32"/>
  <c r="U77" i="32"/>
  <c r="AH51" i="32"/>
  <c r="P52" i="32"/>
  <c r="AP15" i="35"/>
  <c r="Q16" i="35"/>
  <c r="Q17" i="35" s="1"/>
  <c r="Q18" i="35"/>
  <c r="AH59" i="32"/>
  <c r="P60" i="32"/>
  <c r="K70" i="32"/>
  <c r="K76" i="32"/>
  <c r="Q107" i="35"/>
  <c r="AO15" i="35"/>
  <c r="P16" i="35"/>
  <c r="V15" i="35"/>
  <c r="Y15" i="35" s="1"/>
  <c r="P24" i="28"/>
  <c r="AO38" i="28"/>
  <c r="I36" i="28"/>
  <c r="O35" i="28"/>
  <c r="P35" i="28" s="1"/>
  <c r="AO35" i="28"/>
  <c r="I44" i="28"/>
  <c r="N46" i="28"/>
  <c r="I46" i="28"/>
  <c r="L28" i="32"/>
  <c r="L31" i="32" s="1"/>
  <c r="L32" i="32" s="1"/>
  <c r="L10" i="32"/>
  <c r="L11" i="32" s="1"/>
  <c r="L8" i="32"/>
  <c r="J31" i="32"/>
  <c r="J32" i="32" s="1"/>
  <c r="J29" i="32"/>
  <c r="X77" i="32"/>
  <c r="AJ40" i="32"/>
  <c r="G68" i="32"/>
  <c r="AK39" i="32"/>
  <c r="I22" i="29"/>
  <c r="I23" i="29" s="1"/>
  <c r="I26" i="29" s="1"/>
  <c r="H61" i="29"/>
  <c r="I61" i="29" s="1"/>
  <c r="I63" i="29" s="1"/>
  <c r="V35" i="29"/>
  <c r="S10" i="32"/>
  <c r="S11" i="32" s="1"/>
  <c r="S8" i="32"/>
  <c r="AI48" i="32"/>
  <c r="Q49" i="32"/>
  <c r="Q51" i="32"/>
  <c r="AO37" i="28"/>
  <c r="I35" i="28"/>
  <c r="R64" i="32"/>
  <c r="AJ63" i="32"/>
  <c r="O18" i="35"/>
  <c r="P4" i="28"/>
  <c r="P12" i="28"/>
  <c r="O15" i="28"/>
  <c r="P15" i="28" s="1"/>
  <c r="J41" i="29"/>
  <c r="K43" i="29" s="1"/>
  <c r="Q40" i="29"/>
  <c r="E77" i="32"/>
  <c r="F42" i="32"/>
  <c r="AJ42" i="32" s="1"/>
  <c r="M71" i="32"/>
  <c r="L3" i="35"/>
  <c r="L5" i="35" s="1"/>
  <c r="P18" i="35"/>
  <c r="L7" i="36"/>
  <c r="E32" i="32"/>
  <c r="O31" i="28"/>
  <c r="P31" i="28" s="1"/>
  <c r="D32" i="28"/>
  <c r="I32" i="28" s="1"/>
  <c r="P26" i="28"/>
  <c r="P10" i="28"/>
  <c r="C23" i="29"/>
  <c r="C26" i="29" s="1"/>
  <c r="Q77" i="32"/>
  <c r="U76" i="32"/>
  <c r="L43" i="32"/>
  <c r="L44" i="32" s="1"/>
  <c r="D39" i="36"/>
  <c r="D40" i="36" s="1"/>
  <c r="S19" i="32"/>
  <c r="L70" i="32"/>
  <c r="P28" i="28"/>
  <c r="P20" i="28"/>
  <c r="R21" i="28" s="1"/>
  <c r="P23" i="28"/>
  <c r="P34" i="28"/>
  <c r="H41" i="29"/>
  <c r="L18" i="32"/>
  <c r="L19" i="32" s="1"/>
  <c r="AG63" i="32"/>
  <c r="AI56" i="32"/>
  <c r="Z39" i="32"/>
  <c r="I72" i="32"/>
  <c r="U70" i="32"/>
  <c r="P21" i="36"/>
  <c r="P29" i="28"/>
  <c r="B6" i="35"/>
  <c r="AE6" i="35" s="1"/>
  <c r="W76" i="32"/>
  <c r="M69" i="32"/>
  <c r="M70" i="32" s="1"/>
  <c r="O71" i="32"/>
  <c r="AG71" i="32" s="1"/>
  <c r="O96" i="35"/>
  <c r="P39" i="36"/>
  <c r="P40" i="36" s="1"/>
  <c r="P7" i="28"/>
  <c r="P17" i="28"/>
  <c r="I41" i="29"/>
  <c r="M44" i="29" s="1"/>
  <c r="M50" i="29" s="1"/>
  <c r="M52" i="29" s="1"/>
  <c r="P8" i="28"/>
  <c r="I43" i="28"/>
  <c r="R22" i="29"/>
  <c r="R63" i="29"/>
  <c r="R64" i="29" s="1"/>
  <c r="N23" i="29"/>
  <c r="N26" i="29" s="1"/>
  <c r="S48" i="32"/>
  <c r="Y27" i="32"/>
  <c r="P76" i="32"/>
  <c r="W79" i="32"/>
  <c r="P24" i="36"/>
  <c r="J34" i="35"/>
  <c r="J24" i="35"/>
  <c r="K116" i="35" s="1"/>
  <c r="C14" i="35"/>
  <c r="AE30" i="35"/>
  <c r="C34" i="35"/>
  <c r="F16" i="35"/>
  <c r="H107" i="35"/>
  <c r="P96" i="35"/>
  <c r="AH15" i="35"/>
  <c r="AH22" i="35"/>
  <c r="AI30" i="35"/>
  <c r="G23" i="29"/>
  <c r="G26" i="29" s="1"/>
  <c r="V37" i="29"/>
  <c r="V38" i="29" s="1"/>
  <c r="H23" i="29"/>
  <c r="H26" i="29" s="1"/>
  <c r="M36" i="29"/>
  <c r="M49" i="29" s="1"/>
  <c r="M51" i="29" s="1"/>
  <c r="Q34" i="29"/>
  <c r="L44" i="29"/>
  <c r="L43" i="29"/>
  <c r="I74" i="29"/>
  <c r="I76" i="29" s="1"/>
  <c r="I78" i="29" s="1"/>
  <c r="X23" i="28"/>
  <c r="X18" i="28"/>
  <c r="Z14" i="28"/>
  <c r="Z18" i="28" s="1"/>
  <c r="E23" i="29"/>
  <c r="E26" i="29" s="1"/>
  <c r="F23" i="29"/>
  <c r="F26" i="29" s="1"/>
  <c r="X39" i="28"/>
  <c r="Y39" i="28" s="1"/>
  <c r="M23" i="29"/>
  <c r="M26" i="29" s="1"/>
  <c r="L29" i="32"/>
  <c r="L77" i="32"/>
  <c r="Y30" i="32"/>
  <c r="X31" i="32"/>
  <c r="X79" i="32"/>
  <c r="O57" i="32"/>
  <c r="O59" i="32"/>
  <c r="S56" i="32"/>
  <c r="S69" i="32" s="1"/>
  <c r="O69" i="32"/>
  <c r="O77" i="32" s="1"/>
  <c r="AG56" i="32"/>
  <c r="P27" i="28"/>
  <c r="P32" i="32"/>
  <c r="J80" i="32"/>
  <c r="F43" i="32"/>
  <c r="F44" i="32" s="1"/>
  <c r="F71" i="32"/>
  <c r="F72" i="32" s="1"/>
  <c r="F73" i="32" s="1"/>
  <c r="K31" i="32"/>
  <c r="K29" i="32"/>
  <c r="K77" i="32"/>
  <c r="S28" i="32"/>
  <c r="O29" i="32"/>
  <c r="O31" i="32"/>
  <c r="W29" i="32"/>
  <c r="W77" i="32"/>
  <c r="L72" i="32"/>
  <c r="M59" i="32"/>
  <c r="M60" i="32" s="1"/>
  <c r="P25" i="28"/>
  <c r="D26" i="29"/>
  <c r="G30" i="32"/>
  <c r="G79" i="32" s="1"/>
  <c r="G49" i="32"/>
  <c r="AA47" i="32"/>
  <c r="AK47" i="32"/>
  <c r="R43" i="32"/>
  <c r="S42" i="32"/>
  <c r="S43" i="32" s="1"/>
  <c r="P32" i="28"/>
  <c r="B12" i="35"/>
  <c r="AJ48" i="32"/>
  <c r="R49" i="32"/>
  <c r="R69" i="32"/>
  <c r="AD55" i="32"/>
  <c r="R68" i="32"/>
  <c r="S55" i="32"/>
  <c r="AJ55" i="32"/>
  <c r="R57" i="32"/>
  <c r="P5" i="28"/>
  <c r="Y8" i="32"/>
  <c r="Y10" i="32"/>
  <c r="Y11" i="32" s="1"/>
  <c r="V76" i="32"/>
  <c r="V29" i="32"/>
  <c r="AH43" i="32"/>
  <c r="P44" i="32"/>
  <c r="I70" i="32"/>
  <c r="I76" i="32"/>
  <c r="Z68" i="32"/>
  <c r="AI63" i="32"/>
  <c r="Q71" i="32"/>
  <c r="Q64" i="32"/>
  <c r="S63" i="32"/>
  <c r="I40" i="28"/>
  <c r="G3" i="35"/>
  <c r="S27" i="32"/>
  <c r="G52" i="32"/>
  <c r="D70" i="32"/>
  <c r="AH68" i="32"/>
  <c r="AG47" i="32"/>
  <c r="O68" i="32"/>
  <c r="AG68" i="32" s="1"/>
  <c r="O52" i="32"/>
  <c r="O49" i="32"/>
  <c r="I37" i="28"/>
  <c r="D13" i="35"/>
  <c r="F105" i="35" s="1"/>
  <c r="W32" i="32"/>
  <c r="F7" i="32"/>
  <c r="G10" i="32"/>
  <c r="G11" i="32" s="1"/>
  <c r="G8" i="32"/>
  <c r="D76" i="32"/>
  <c r="G27" i="32"/>
  <c r="M76" i="32"/>
  <c r="S41" i="32"/>
  <c r="AK40" i="32"/>
  <c r="C72" i="32"/>
  <c r="C79" i="32"/>
  <c r="R15" i="36"/>
  <c r="M28" i="32"/>
  <c r="R59" i="32"/>
  <c r="M30" i="32"/>
  <c r="Y49" i="32"/>
  <c r="J70" i="32"/>
  <c r="G41" i="32"/>
  <c r="AA39" i="32"/>
  <c r="V4" i="35"/>
  <c r="Y4" i="35" s="1"/>
  <c r="P37" i="36"/>
  <c r="Q96" i="35"/>
  <c r="Q97" i="35" s="1"/>
  <c r="Y57" i="32"/>
  <c r="D73" i="32"/>
  <c r="G69" i="32"/>
  <c r="P64" i="32"/>
  <c r="AN13" i="35"/>
  <c r="AP4" i="35"/>
  <c r="L38" i="36"/>
  <c r="L39" i="36" s="1"/>
  <c r="H116" i="35"/>
  <c r="Y28" i="32"/>
  <c r="G57" i="32"/>
  <c r="Y69" i="32"/>
  <c r="V13" i="35"/>
  <c r="Y13" i="35" s="1"/>
  <c r="S58" i="32"/>
  <c r="AK58" i="32" s="1"/>
  <c r="D31" i="32"/>
  <c r="U29" i="32"/>
  <c r="K21" i="35"/>
  <c r="O14" i="35"/>
  <c r="L12" i="35"/>
  <c r="J77" i="32"/>
  <c r="O16" i="35"/>
  <c r="O17" i="35" s="1"/>
  <c r="L21" i="35"/>
  <c r="D29" i="32"/>
  <c r="AI43" i="32"/>
  <c r="AD42" i="32"/>
  <c r="G16" i="35"/>
  <c r="AG6" i="35"/>
  <c r="G34" i="35"/>
  <c r="F31" i="36"/>
  <c r="AJ22" i="35"/>
  <c r="J7" i="35"/>
  <c r="AI13" i="35"/>
  <c r="AF22" i="35"/>
  <c r="AG30" i="35"/>
  <c r="B34" i="35"/>
  <c r="C13" i="36"/>
  <c r="AE13" i="35"/>
  <c r="T30" i="35"/>
  <c r="H114" i="35"/>
  <c r="P30" i="35"/>
  <c r="O9" i="35"/>
  <c r="AM6" i="35"/>
  <c r="Q7" i="35"/>
  <c r="N9" i="35"/>
  <c r="Q9" i="35"/>
  <c r="AO6" i="35"/>
  <c r="N7" i="35"/>
  <c r="P7" i="35"/>
  <c r="O7" i="35"/>
  <c r="Q98" i="35"/>
  <c r="P9" i="35"/>
  <c r="V6" i="35"/>
  <c r="L37" i="35"/>
  <c r="L96" i="35"/>
  <c r="I96" i="35"/>
  <c r="I34" i="35"/>
  <c r="T4" i="35"/>
  <c r="AL4" i="35"/>
  <c r="K96" i="35"/>
  <c r="T6" i="35"/>
  <c r="AM4" i="35"/>
  <c r="C7" i="35"/>
  <c r="J12" i="35"/>
  <c r="J14" i="35" s="1"/>
  <c r="K34" i="35"/>
  <c r="M114" i="35"/>
  <c r="B25" i="35"/>
  <c r="T22" i="35"/>
  <c r="AF6" i="35"/>
  <c r="AI6" i="35"/>
  <c r="N107" i="35"/>
  <c r="K105" i="35"/>
  <c r="I25" i="35"/>
  <c r="AF4" i="35"/>
  <c r="AI4" i="35"/>
  <c r="AJ4" i="35"/>
  <c r="I16" i="35"/>
  <c r="AF24" i="35"/>
  <c r="H105" i="35"/>
  <c r="F36" i="35"/>
  <c r="AE24" i="35"/>
  <c r="AF30" i="35"/>
  <c r="F15" i="36"/>
  <c r="L105" i="35"/>
  <c r="J16" i="35"/>
  <c r="AM13" i="35"/>
  <c r="AL15" i="35"/>
  <c r="L114" i="35"/>
  <c r="G7" i="35"/>
  <c r="I98" i="35"/>
  <c r="J96" i="35"/>
  <c r="D7" i="35"/>
  <c r="C21" i="36"/>
  <c r="O11" i="36"/>
  <c r="O13" i="36" s="1"/>
  <c r="C7" i="36"/>
  <c r="O20" i="36"/>
  <c r="O23" i="36" s="1"/>
  <c r="O24" i="36" s="1"/>
  <c r="G122" i="35"/>
  <c r="F122" i="35"/>
  <c r="S30" i="35"/>
  <c r="AH30" i="35"/>
  <c r="E122" i="35"/>
  <c r="H122" i="35"/>
  <c r="G107" i="35"/>
  <c r="D36" i="35"/>
  <c r="AJ6" i="35"/>
  <c r="K36" i="35"/>
  <c r="AN6" i="35"/>
  <c r="D12" i="35"/>
  <c r="D18" i="35" s="1"/>
  <c r="H3" i="35"/>
  <c r="C3" i="35"/>
  <c r="F12" i="35"/>
  <c r="E21" i="35"/>
  <c r="F114" i="35"/>
  <c r="G114" i="35"/>
  <c r="AG22" i="35"/>
  <c r="L98" i="35"/>
  <c r="I7" i="35"/>
  <c r="I36" i="35"/>
  <c r="K98" i="35"/>
  <c r="J98" i="35"/>
  <c r="F11" i="36"/>
  <c r="I12" i="35"/>
  <c r="D25" i="35"/>
  <c r="B3" i="35"/>
  <c r="F5" i="35"/>
  <c r="AG15" i="35"/>
  <c r="E114" i="35"/>
  <c r="C21" i="35"/>
  <c r="C15" i="35"/>
  <c r="S22" i="35"/>
  <c r="F4" i="36"/>
  <c r="B4" i="36"/>
  <c r="R23" i="36"/>
  <c r="F6" i="36"/>
  <c r="AK4" i="35"/>
  <c r="H7" i="35"/>
  <c r="AG4" i="35"/>
  <c r="H34" i="35"/>
  <c r="T13" i="35"/>
  <c r="AJ13" i="35"/>
  <c r="J105" i="35"/>
  <c r="AF13" i="35"/>
  <c r="I105" i="35"/>
  <c r="K107" i="35"/>
  <c r="AK15" i="35"/>
  <c r="J107" i="35"/>
  <c r="J114" i="35"/>
  <c r="K114" i="35"/>
  <c r="H25" i="35"/>
  <c r="I114" i="35"/>
  <c r="AG24" i="35"/>
  <c r="AK24" i="35"/>
  <c r="K122" i="35"/>
  <c r="L122" i="35"/>
  <c r="O14" i="36"/>
  <c r="C38" i="36"/>
  <c r="C15" i="36"/>
  <c r="C16" i="36" s="1"/>
  <c r="J23" i="35"/>
  <c r="AN15" i="35"/>
  <c r="H16" i="35"/>
  <c r="AE4" i="35"/>
  <c r="E31" i="36"/>
  <c r="B12" i="36"/>
  <c r="N12" i="36" s="1"/>
  <c r="F23" i="36"/>
  <c r="AJ15" i="35"/>
  <c r="AJ30" i="35"/>
  <c r="E16" i="35"/>
  <c r="G36" i="35"/>
  <c r="T15" i="35"/>
  <c r="J122" i="35"/>
  <c r="I122" i="35"/>
  <c r="AE15" i="35"/>
  <c r="B6" i="36"/>
  <c r="N6" i="36" s="1"/>
  <c r="T6" i="36" s="1"/>
  <c r="M107" i="35"/>
  <c r="M96" i="35"/>
  <c r="I107" i="35"/>
  <c r="B14" i="36"/>
  <c r="N14" i="36" s="1"/>
  <c r="B20" i="36"/>
  <c r="N20" i="36" s="1"/>
  <c r="W20" i="36" s="1"/>
  <c r="L107" i="35"/>
  <c r="AN30" i="35"/>
  <c r="U4" i="35"/>
  <c r="F7" i="35"/>
  <c r="H36" i="35"/>
  <c r="O4" i="36"/>
  <c r="T24" i="35"/>
  <c r="AI22" i="35"/>
  <c r="I116" i="35"/>
  <c r="AK6" i="35"/>
  <c r="B30" i="36"/>
  <c r="B31" i="36" s="1"/>
  <c r="C23" i="36"/>
  <c r="C24" i="36" s="1"/>
  <c r="C36" i="36"/>
  <c r="F25" i="35"/>
  <c r="F34" i="35"/>
  <c r="AE22" i="35"/>
  <c r="B23" i="35" l="1"/>
  <c r="H14" i="35"/>
  <c r="E14" i="35"/>
  <c r="E17" i="35"/>
  <c r="U22" i="35"/>
  <c r="O105" i="35"/>
  <c r="O108" i="35" s="1"/>
  <c r="M16" i="35"/>
  <c r="M105" i="35"/>
  <c r="P105" i="35"/>
  <c r="P108" i="35" s="1"/>
  <c r="E116" i="35"/>
  <c r="G18" i="35"/>
  <c r="N108" i="35"/>
  <c r="U13" i="35"/>
  <c r="U16" i="35" s="1"/>
  <c r="E25" i="35"/>
  <c r="E26" i="35" s="1"/>
  <c r="F116" i="35"/>
  <c r="F117" i="35" s="1"/>
  <c r="AF25" i="35"/>
  <c r="AL13" i="35"/>
  <c r="AP13" i="35"/>
  <c r="B17" i="35"/>
  <c r="E35" i="36"/>
  <c r="H104" i="35"/>
  <c r="H110" i="35" s="1"/>
  <c r="U30" i="35"/>
  <c r="AS30" i="35" s="1"/>
  <c r="G14" i="35"/>
  <c r="P122" i="35"/>
  <c r="M122" i="35"/>
  <c r="T122" i="35" s="1"/>
  <c r="G17" i="35"/>
  <c r="K5" i="35"/>
  <c r="AN3" i="35"/>
  <c r="B26" i="35"/>
  <c r="AJ3" i="35"/>
  <c r="AL30" i="35"/>
  <c r="O122" i="35"/>
  <c r="AE16" i="35"/>
  <c r="U105" i="35"/>
  <c r="M34" i="35"/>
  <c r="M126" i="35" s="1"/>
  <c r="M138" i="35" s="1"/>
  <c r="AI21" i="35"/>
  <c r="D8" i="35"/>
  <c r="D9" i="35"/>
  <c r="K8" i="35"/>
  <c r="F27" i="35"/>
  <c r="D23" i="35"/>
  <c r="D26" i="35"/>
  <c r="M98" i="35"/>
  <c r="U98" i="35" s="1"/>
  <c r="AL6" i="35"/>
  <c r="U6" i="35"/>
  <c r="AB6" i="35" s="1"/>
  <c r="M7" i="35"/>
  <c r="AP7" i="35" s="1"/>
  <c r="N98" i="35"/>
  <c r="P98" i="35"/>
  <c r="P99" i="35" s="1"/>
  <c r="AP6" i="35"/>
  <c r="M12" i="35"/>
  <c r="M14" i="35" s="1"/>
  <c r="AE21" i="35"/>
  <c r="M21" i="35"/>
  <c r="M23" i="35" s="1"/>
  <c r="G116" i="35"/>
  <c r="G117" i="35" s="1"/>
  <c r="P36" i="28"/>
  <c r="G76" i="32"/>
  <c r="K14" i="35"/>
  <c r="AH24" i="35"/>
  <c r="K18" i="35"/>
  <c r="M24" i="35"/>
  <c r="M116" i="35" s="1"/>
  <c r="M117" i="35" s="1"/>
  <c r="V32" i="32"/>
  <c r="E6" i="35"/>
  <c r="H98" i="35" s="1"/>
  <c r="E73" i="32"/>
  <c r="E80" i="32"/>
  <c r="B9" i="35"/>
  <c r="Q3" i="36"/>
  <c r="Q35" i="36" s="1"/>
  <c r="AC15" i="35"/>
  <c r="L8" i="35"/>
  <c r="AO3" i="35"/>
  <c r="L9" i="35"/>
  <c r="I99" i="35"/>
  <c r="Q110" i="35"/>
  <c r="B36" i="35"/>
  <c r="AE36" i="35" s="1"/>
  <c r="B7" i="35"/>
  <c r="B8" i="35" s="1"/>
  <c r="J25" i="35"/>
  <c r="AI25" i="35" s="1"/>
  <c r="AH25" i="35"/>
  <c r="Q108" i="35"/>
  <c r="Q109" i="35" s="1"/>
  <c r="Y76" i="32"/>
  <c r="AA24" i="35"/>
  <c r="AG21" i="28"/>
  <c r="AG26" i="28" s="1"/>
  <c r="B22" i="36"/>
  <c r="N22" i="36" s="1"/>
  <c r="T22" i="36" s="1"/>
  <c r="Q106" i="35"/>
  <c r="R51" i="32"/>
  <c r="R71" i="32"/>
  <c r="M72" i="32"/>
  <c r="M73" i="32" s="1"/>
  <c r="S50" i="32"/>
  <c r="AK50" i="32" s="1"/>
  <c r="I26" i="28"/>
  <c r="AD50" i="32"/>
  <c r="Z47" i="32"/>
  <c r="J23" i="29"/>
  <c r="J26" i="29" s="1"/>
  <c r="AE47" i="32"/>
  <c r="Q22" i="29"/>
  <c r="P16" i="28"/>
  <c r="P72" i="32"/>
  <c r="AH71" i="32"/>
  <c r="R17" i="28"/>
  <c r="Y79" i="32"/>
  <c r="P79" i="32"/>
  <c r="AA30" i="35"/>
  <c r="F19" i="36"/>
  <c r="R19" i="36" s="1"/>
  <c r="R21" i="36" s="1"/>
  <c r="U32" i="32"/>
  <c r="U80" i="32"/>
  <c r="AH7" i="28"/>
  <c r="I30" i="28"/>
  <c r="I21" i="35"/>
  <c r="AH21" i="35" s="1"/>
  <c r="AI59" i="32"/>
  <c r="O79" i="32"/>
  <c r="C44" i="32"/>
  <c r="AG43" i="32"/>
  <c r="S30" i="32"/>
  <c r="AB30" i="32" s="1"/>
  <c r="G8" i="35"/>
  <c r="I80" i="32"/>
  <c r="I73" i="32"/>
  <c r="Q52" i="32"/>
  <c r="AI51" i="32"/>
  <c r="AO50" i="28"/>
  <c r="P17" i="35"/>
  <c r="AO16" i="35"/>
  <c r="C3" i="36"/>
  <c r="C8" i="36" s="1"/>
  <c r="AA27" i="32"/>
  <c r="AG12" i="35"/>
  <c r="Q70" i="32"/>
  <c r="W80" i="32"/>
  <c r="R25" i="28"/>
  <c r="Q76" i="32"/>
  <c r="F79" i="32"/>
  <c r="R30" i="28"/>
  <c r="S49" i="32"/>
  <c r="S51" i="32"/>
  <c r="AK48" i="32"/>
  <c r="D16" i="35"/>
  <c r="D17" i="35" s="1"/>
  <c r="B14" i="35"/>
  <c r="AF34" i="35"/>
  <c r="B18" i="35"/>
  <c r="Q99" i="35"/>
  <c r="Q100" i="35" s="1"/>
  <c r="G105" i="35"/>
  <c r="G108" i="35" s="1"/>
  <c r="AG13" i="35"/>
  <c r="D34" i="35"/>
  <c r="D37" i="35" s="1"/>
  <c r="E105" i="35"/>
  <c r="V105" i="35" s="1"/>
  <c r="S13" i="35"/>
  <c r="AA13" i="35" s="1"/>
  <c r="S122" i="35"/>
  <c r="AI24" i="35"/>
  <c r="U24" i="35"/>
  <c r="O24" i="35" s="1"/>
  <c r="AB30" i="35"/>
  <c r="J36" i="35"/>
  <c r="K128" i="35" s="1"/>
  <c r="J116" i="35"/>
  <c r="J117" i="35" s="1"/>
  <c r="AA22" i="35"/>
  <c r="H108" i="35"/>
  <c r="L116" i="35"/>
  <c r="L117" i="35" s="1"/>
  <c r="J27" i="35"/>
  <c r="V14" i="35"/>
  <c r="F33" i="35"/>
  <c r="V16" i="35"/>
  <c r="Y16" i="35" s="1"/>
  <c r="AL16" i="35"/>
  <c r="B15" i="36"/>
  <c r="S12" i="35"/>
  <c r="H117" i="35"/>
  <c r="O21" i="36"/>
  <c r="V5" i="35"/>
  <c r="AB28" i="32"/>
  <c r="M29" i="32"/>
  <c r="M77" i="32"/>
  <c r="M31" i="32"/>
  <c r="AK43" i="32"/>
  <c r="S44" i="32"/>
  <c r="F28" i="32"/>
  <c r="F8" i="32"/>
  <c r="F10" i="32"/>
  <c r="F11" i="32" s="1"/>
  <c r="AK55" i="32"/>
  <c r="AE55" i="32"/>
  <c r="Z55" i="32"/>
  <c r="AB55" i="32"/>
  <c r="O32" i="32"/>
  <c r="L18" i="35"/>
  <c r="L14" i="35"/>
  <c r="L17" i="35"/>
  <c r="AK12" i="35"/>
  <c r="AO12" i="35"/>
  <c r="AB69" i="32"/>
  <c r="AK69" i="32"/>
  <c r="O76" i="32"/>
  <c r="AK63" i="32"/>
  <c r="S64" i="32"/>
  <c r="AD68" i="32"/>
  <c r="AJ68" i="32"/>
  <c r="R79" i="32"/>
  <c r="AJ71" i="32"/>
  <c r="AP16" i="35"/>
  <c r="S77" i="32"/>
  <c r="S29" i="32"/>
  <c r="R76" i="32"/>
  <c r="O72" i="32"/>
  <c r="AG69" i="32"/>
  <c r="O70" i="32"/>
  <c r="L27" i="35"/>
  <c r="L23" i="35"/>
  <c r="L26" i="35"/>
  <c r="D80" i="32"/>
  <c r="D32" i="32"/>
  <c r="Y72" i="32"/>
  <c r="Y73" i="32" s="1"/>
  <c r="Y70" i="32"/>
  <c r="Q79" i="32"/>
  <c r="AI71" i="32"/>
  <c r="Q72" i="32"/>
  <c r="R77" i="32"/>
  <c r="R72" i="32"/>
  <c r="AJ69" i="32"/>
  <c r="R70" i="32"/>
  <c r="L73" i="32"/>
  <c r="L80" i="32"/>
  <c r="S59" i="32"/>
  <c r="AK56" i="32"/>
  <c r="S57" i="32"/>
  <c r="R29" i="28"/>
  <c r="G70" i="32"/>
  <c r="G72" i="32"/>
  <c r="G73" i="32" s="1"/>
  <c r="AD71" i="32"/>
  <c r="AG59" i="32"/>
  <c r="O60" i="32"/>
  <c r="X40" i="28"/>
  <c r="Y29" i="32"/>
  <c r="Y31" i="32"/>
  <c r="Y77" i="32"/>
  <c r="AL24" i="35"/>
  <c r="L33" i="35"/>
  <c r="C80" i="32"/>
  <c r="C73" i="32"/>
  <c r="R52" i="32"/>
  <c r="AJ51" i="32"/>
  <c r="S68" i="32"/>
  <c r="K80" i="32"/>
  <c r="K32" i="32"/>
  <c r="R23" i="29"/>
  <c r="Q23" i="29"/>
  <c r="K27" i="35"/>
  <c r="K23" i="35"/>
  <c r="K26" i="35"/>
  <c r="M79" i="32"/>
  <c r="AA30" i="32"/>
  <c r="G9" i="35"/>
  <c r="G5" i="35"/>
  <c r="S71" i="32"/>
  <c r="AK42" i="32"/>
  <c r="AB27" i="32"/>
  <c r="M3" i="35"/>
  <c r="AJ59" i="32"/>
  <c r="R60" i="32"/>
  <c r="AJ43" i="32"/>
  <c r="R44" i="32"/>
  <c r="X80" i="32"/>
  <c r="X32" i="32"/>
  <c r="X27" i="28"/>
  <c r="Z23" i="28"/>
  <c r="Z27" i="28" s="1"/>
  <c r="B36" i="36"/>
  <c r="AF7" i="35"/>
  <c r="F16" i="36"/>
  <c r="AO30" i="35"/>
  <c r="Q30" i="35"/>
  <c r="O99" i="35"/>
  <c r="Q8" i="35"/>
  <c r="Q101" i="35"/>
  <c r="AO7" i="35"/>
  <c r="AM7" i="35"/>
  <c r="O8" i="35"/>
  <c r="P8" i="35"/>
  <c r="N8" i="35"/>
  <c r="Y6" i="35"/>
  <c r="V7" i="35"/>
  <c r="AB22" i="35"/>
  <c r="AS22" i="35"/>
  <c r="Q22" i="35"/>
  <c r="P22" i="35"/>
  <c r="E3" i="35"/>
  <c r="S3" i="35" s="1"/>
  <c r="L126" i="35"/>
  <c r="L138" i="35" s="1"/>
  <c r="H21" i="35"/>
  <c r="H33" i="35" s="1"/>
  <c r="AI16" i="35"/>
  <c r="AM16" i="35"/>
  <c r="J17" i="35"/>
  <c r="O22" i="35"/>
  <c r="T7" i="35"/>
  <c r="U6" i="36"/>
  <c r="N4" i="36"/>
  <c r="T4" i="36" s="1"/>
  <c r="N30" i="36"/>
  <c r="W30" i="36" s="1"/>
  <c r="N99" i="35"/>
  <c r="AM12" i="35"/>
  <c r="J18" i="35"/>
  <c r="AJ34" i="35"/>
  <c r="G21" i="35"/>
  <c r="G26" i="35" s="1"/>
  <c r="B7" i="36"/>
  <c r="E117" i="35"/>
  <c r="O7" i="36"/>
  <c r="O36" i="36"/>
  <c r="M108" i="35"/>
  <c r="U107" i="35"/>
  <c r="T107" i="35"/>
  <c r="W12" i="36"/>
  <c r="U12" i="36"/>
  <c r="T12" i="36"/>
  <c r="B5" i="35"/>
  <c r="AE3" i="35"/>
  <c r="B33" i="35"/>
  <c r="AK3" i="35"/>
  <c r="AG3" i="35"/>
  <c r="H9" i="35"/>
  <c r="H5" i="35"/>
  <c r="D14" i="35"/>
  <c r="AC6" i="35"/>
  <c r="I26" i="35"/>
  <c r="I27" i="35"/>
  <c r="T36" i="35"/>
  <c r="AB15" i="35"/>
  <c r="I128" i="35"/>
  <c r="T105" i="35"/>
  <c r="I108" i="35"/>
  <c r="K108" i="35"/>
  <c r="T25" i="35"/>
  <c r="K99" i="35"/>
  <c r="E4" i="35"/>
  <c r="B11" i="36"/>
  <c r="N11" i="36" s="1"/>
  <c r="V11" i="36" s="1"/>
  <c r="AG7" i="35"/>
  <c r="AK7" i="35"/>
  <c r="H8" i="35"/>
  <c r="J99" i="35"/>
  <c r="T20" i="36"/>
  <c r="U20" i="36"/>
  <c r="AK36" i="35"/>
  <c r="AG36" i="35"/>
  <c r="AK16" i="35"/>
  <c r="H17" i="35"/>
  <c r="T114" i="35"/>
  <c r="I117" i="35"/>
  <c r="S114" i="35"/>
  <c r="F38" i="36"/>
  <c r="R6" i="36"/>
  <c r="S25" i="35"/>
  <c r="AF3" i="35"/>
  <c r="C9" i="35"/>
  <c r="C33" i="35"/>
  <c r="C5" i="35"/>
  <c r="C8" i="35"/>
  <c r="I37" i="35"/>
  <c r="E113" i="35"/>
  <c r="E119" i="35" s="1"/>
  <c r="S21" i="35"/>
  <c r="S23" i="35" s="1"/>
  <c r="F113" i="35"/>
  <c r="C27" i="35"/>
  <c r="C23" i="35"/>
  <c r="C26" i="35"/>
  <c r="AN16" i="35"/>
  <c r="AJ16" i="35"/>
  <c r="AI7" i="35"/>
  <c r="F8" i="35"/>
  <c r="AJ7" i="35"/>
  <c r="AN7" i="35"/>
  <c r="O15" i="36"/>
  <c r="O16" i="36" s="1"/>
  <c r="O38" i="36"/>
  <c r="AK25" i="35"/>
  <c r="AG25" i="35"/>
  <c r="J108" i="35"/>
  <c r="E27" i="35"/>
  <c r="E23" i="35"/>
  <c r="U34" i="35"/>
  <c r="U7" i="35"/>
  <c r="AS4" i="35"/>
  <c r="AC4" i="35"/>
  <c r="AB4" i="35"/>
  <c r="K117" i="35"/>
  <c r="U21" i="35"/>
  <c r="B3" i="36"/>
  <c r="AE34" i="35"/>
  <c r="F37" i="35"/>
  <c r="AI34" i="35"/>
  <c r="I126" i="35"/>
  <c r="J3" i="35"/>
  <c r="T16" i="35"/>
  <c r="AB13" i="35"/>
  <c r="T34" i="35"/>
  <c r="AH16" i="35"/>
  <c r="AN12" i="35"/>
  <c r="K33" i="35"/>
  <c r="K39" i="35" s="1"/>
  <c r="AJ12" i="35"/>
  <c r="E107" i="35"/>
  <c r="F107" i="35"/>
  <c r="F108" i="35" s="1"/>
  <c r="AF15" i="35"/>
  <c r="S15" i="35"/>
  <c r="AA15" i="35" s="1"/>
  <c r="C36" i="35"/>
  <c r="C16" i="35"/>
  <c r="C18" i="35"/>
  <c r="G37" i="35"/>
  <c r="E14" i="36"/>
  <c r="Q14" i="36" s="1"/>
  <c r="V14" i="36" s="1"/>
  <c r="E12" i="36"/>
  <c r="I17" i="35"/>
  <c r="I18" i="35"/>
  <c r="AH12" i="35"/>
  <c r="I14" i="35"/>
  <c r="J104" i="35"/>
  <c r="J106" i="35" s="1"/>
  <c r="K104" i="35"/>
  <c r="K106" i="35" s="1"/>
  <c r="L104" i="35"/>
  <c r="L106" i="35" s="1"/>
  <c r="G104" i="35"/>
  <c r="D33" i="35"/>
  <c r="F104" i="35"/>
  <c r="F106" i="35" s="1"/>
  <c r="E104" i="35"/>
  <c r="AJ36" i="35"/>
  <c r="K37" i="35"/>
  <c r="L99" i="35"/>
  <c r="AE25" i="35"/>
  <c r="F26" i="35"/>
  <c r="C39" i="36"/>
  <c r="S116" i="35"/>
  <c r="L108" i="35"/>
  <c r="U96" i="35"/>
  <c r="T96" i="35"/>
  <c r="H37" i="35"/>
  <c r="AK34" i="35"/>
  <c r="J126" i="35"/>
  <c r="K126" i="35"/>
  <c r="R4" i="36"/>
  <c r="F36" i="36"/>
  <c r="F7" i="36"/>
  <c r="R11" i="36"/>
  <c r="F13" i="36"/>
  <c r="AE12" i="35"/>
  <c r="F14" i="35"/>
  <c r="F17" i="35"/>
  <c r="F18" i="35"/>
  <c r="AI12" i="35"/>
  <c r="T12" i="35"/>
  <c r="I104" i="35"/>
  <c r="B19" i="36"/>
  <c r="N15" i="36"/>
  <c r="U14" i="36"/>
  <c r="W14" i="36"/>
  <c r="T14" i="36"/>
  <c r="L113" i="35" l="1"/>
  <c r="H106" i="35"/>
  <c r="M113" i="35"/>
  <c r="M118" i="35" s="1"/>
  <c r="AL21" i="35"/>
  <c r="H109" i="35"/>
  <c r="AL34" i="35"/>
  <c r="M25" i="35"/>
  <c r="M26" i="35" s="1"/>
  <c r="M36" i="35"/>
  <c r="M37" i="35" s="1"/>
  <c r="AC13" i="35"/>
  <c r="AS13" i="35"/>
  <c r="F119" i="35"/>
  <c r="AG34" i="35"/>
  <c r="M27" i="35"/>
  <c r="AG16" i="35"/>
  <c r="N23" i="36"/>
  <c r="U23" i="36" s="1"/>
  <c r="AL12" i="35"/>
  <c r="N104" i="35"/>
  <c r="N106" i="35" s="1"/>
  <c r="I23" i="35"/>
  <c r="M104" i="35"/>
  <c r="T104" i="35" s="1"/>
  <c r="M17" i="35"/>
  <c r="M18" i="35"/>
  <c r="P104" i="35"/>
  <c r="P110" i="35" s="1"/>
  <c r="AP12" i="35"/>
  <c r="O104" i="35"/>
  <c r="O109" i="35" s="1"/>
  <c r="U12" i="35"/>
  <c r="U14" i="35" s="1"/>
  <c r="M99" i="35"/>
  <c r="T99" i="35" s="1"/>
  <c r="J26" i="35"/>
  <c r="T98" i="35"/>
  <c r="AS6" i="35"/>
  <c r="AH6" i="35"/>
  <c r="E98" i="35"/>
  <c r="S98" i="35" s="1"/>
  <c r="M8" i="35"/>
  <c r="AL7" i="35"/>
  <c r="S6" i="35"/>
  <c r="AA6" i="35" s="1"/>
  <c r="F98" i="35"/>
  <c r="G98" i="35"/>
  <c r="E36" i="35"/>
  <c r="F128" i="35" s="1"/>
  <c r="U22" i="36"/>
  <c r="W22" i="36"/>
  <c r="AE7" i="35"/>
  <c r="B38" i="36"/>
  <c r="B39" i="36" s="1"/>
  <c r="B37" i="35"/>
  <c r="B38" i="35" s="1"/>
  <c r="B23" i="36"/>
  <c r="B24" i="36" s="1"/>
  <c r="G106" i="35"/>
  <c r="S14" i="35"/>
  <c r="J37" i="35"/>
  <c r="AI37" i="35" s="1"/>
  <c r="L128" i="35"/>
  <c r="L140" i="35" s="1"/>
  <c r="AI36" i="35"/>
  <c r="J128" i="35"/>
  <c r="J140" i="35" s="1"/>
  <c r="F21" i="36"/>
  <c r="R24" i="36"/>
  <c r="B8" i="36"/>
  <c r="F24" i="36"/>
  <c r="P80" i="32"/>
  <c r="AH72" i="32"/>
  <c r="P73" i="32"/>
  <c r="T116" i="35"/>
  <c r="V17" i="35"/>
  <c r="AK51" i="32"/>
  <c r="S52" i="32"/>
  <c r="C5" i="36"/>
  <c r="O3" i="36"/>
  <c r="O8" i="36" s="1"/>
  <c r="C35" i="36"/>
  <c r="C37" i="36" s="1"/>
  <c r="AH26" i="28"/>
  <c r="AI26" i="28" s="1"/>
  <c r="AI7" i="28"/>
  <c r="Q24" i="35"/>
  <c r="AP24" i="35" s="1"/>
  <c r="S31" i="32"/>
  <c r="AB31" i="32" s="1"/>
  <c r="AA12" i="35"/>
  <c r="P24" i="35"/>
  <c r="P36" i="35" s="1"/>
  <c r="AO36" i="35" s="1"/>
  <c r="AS24" i="35"/>
  <c r="AN24" i="35"/>
  <c r="AB24" i="35"/>
  <c r="S105" i="35"/>
  <c r="U25" i="35"/>
  <c r="AS25" i="35" s="1"/>
  <c r="U36" i="35"/>
  <c r="U37" i="35" s="1"/>
  <c r="N13" i="36"/>
  <c r="J110" i="35"/>
  <c r="AE33" i="35"/>
  <c r="O36" i="35"/>
  <c r="AN36" i="35" s="1"/>
  <c r="H26" i="35"/>
  <c r="K113" i="35"/>
  <c r="K118" i="35" s="1"/>
  <c r="F39" i="35"/>
  <c r="F35" i="35"/>
  <c r="G113" i="35"/>
  <c r="G119" i="35" s="1"/>
  <c r="G23" i="35"/>
  <c r="N38" i="36"/>
  <c r="T38" i="36" s="1"/>
  <c r="M128" i="35"/>
  <c r="M140" i="35" s="1"/>
  <c r="AF21" i="35"/>
  <c r="AL36" i="35"/>
  <c r="J113" i="35"/>
  <c r="G27" i="35"/>
  <c r="N31" i="36"/>
  <c r="V31" i="36" s="1"/>
  <c r="U30" i="36"/>
  <c r="T21" i="35"/>
  <c r="T23" i="35" s="1"/>
  <c r="T30" i="36"/>
  <c r="V30" i="36"/>
  <c r="I113" i="35"/>
  <c r="I119" i="35" s="1"/>
  <c r="G33" i="35"/>
  <c r="G38" i="35" s="1"/>
  <c r="AJ21" i="35"/>
  <c r="H113" i="35"/>
  <c r="H119" i="35" s="1"/>
  <c r="U11" i="36"/>
  <c r="B13" i="36"/>
  <c r="AL25" i="35"/>
  <c r="T11" i="36"/>
  <c r="B16" i="36"/>
  <c r="B5" i="36"/>
  <c r="N3" i="36"/>
  <c r="N5" i="36" s="1"/>
  <c r="F77" i="32"/>
  <c r="F31" i="32"/>
  <c r="F29" i="32"/>
  <c r="G28" i="32"/>
  <c r="AP3" i="35"/>
  <c r="P95" i="35"/>
  <c r="P100" i="35" s="1"/>
  <c r="O95" i="35"/>
  <c r="O100" i="35" s="1"/>
  <c r="M33" i="35"/>
  <c r="M9" i="35"/>
  <c r="N95" i="35"/>
  <c r="M5" i="35"/>
  <c r="S79" i="32"/>
  <c r="AB71" i="32"/>
  <c r="AK71" i="32"/>
  <c r="AK68" i="32"/>
  <c r="AB68" i="32"/>
  <c r="AA68" i="32"/>
  <c r="AE68" i="32"/>
  <c r="L35" i="35"/>
  <c r="L39" i="35"/>
  <c r="R73" i="32"/>
  <c r="R80" i="32"/>
  <c r="AJ72" i="32"/>
  <c r="S70" i="32"/>
  <c r="L38" i="35"/>
  <c r="M32" i="32"/>
  <c r="M80" i="32"/>
  <c r="Y32" i="32"/>
  <c r="Y80" i="32"/>
  <c r="AI72" i="32"/>
  <c r="Q80" i="32"/>
  <c r="Q73" i="32"/>
  <c r="S72" i="32"/>
  <c r="AK59" i="32"/>
  <c r="S60" i="32"/>
  <c r="O73" i="32"/>
  <c r="AG72" i="32"/>
  <c r="S76" i="32"/>
  <c r="O80" i="32"/>
  <c r="H35" i="35"/>
  <c r="H39" i="35"/>
  <c r="S104" i="35"/>
  <c r="S26" i="35"/>
  <c r="AP30" i="35"/>
  <c r="V30" i="35"/>
  <c r="Q122" i="35"/>
  <c r="AM24" i="35"/>
  <c r="N116" i="35"/>
  <c r="N36" i="35"/>
  <c r="O116" i="35"/>
  <c r="V8" i="35"/>
  <c r="Y7" i="35"/>
  <c r="O21" i="35"/>
  <c r="O27" i="35" s="1"/>
  <c r="AO22" i="35"/>
  <c r="P34" i="35"/>
  <c r="AO34" i="35" s="1"/>
  <c r="N114" i="35"/>
  <c r="N25" i="35"/>
  <c r="AM25" i="35" s="1"/>
  <c r="N34" i="35"/>
  <c r="O114" i="35"/>
  <c r="Q114" i="35"/>
  <c r="AM22" i="35"/>
  <c r="P114" i="35"/>
  <c r="V22" i="35"/>
  <c r="U4" i="36"/>
  <c r="G110" i="35"/>
  <c r="E33" i="35"/>
  <c r="F125" i="35" s="1"/>
  <c r="F137" i="35" s="1"/>
  <c r="AP22" i="35"/>
  <c r="Q34" i="35"/>
  <c r="AP34" i="35" s="1"/>
  <c r="N36" i="36"/>
  <c r="T36" i="36" s="1"/>
  <c r="E9" i="35"/>
  <c r="G95" i="35"/>
  <c r="H95" i="35"/>
  <c r="H101" i="35" s="1"/>
  <c r="N7" i="36"/>
  <c r="U7" i="36" s="1"/>
  <c r="H23" i="35"/>
  <c r="AK21" i="35"/>
  <c r="H27" i="35"/>
  <c r="AG21" i="35"/>
  <c r="W4" i="36"/>
  <c r="G109" i="35"/>
  <c r="J109" i="35"/>
  <c r="F95" i="35"/>
  <c r="F101" i="35" s="1"/>
  <c r="E95" i="35"/>
  <c r="O34" i="35"/>
  <c r="AN34" i="35" s="1"/>
  <c r="O25" i="35"/>
  <c r="AN25" i="35" s="1"/>
  <c r="AN22" i="35"/>
  <c r="F109" i="35"/>
  <c r="AC16" i="35"/>
  <c r="AS16" i="35"/>
  <c r="AK37" i="35"/>
  <c r="AG37" i="35"/>
  <c r="H38" i="35"/>
  <c r="AF16" i="35"/>
  <c r="C17" i="35"/>
  <c r="T14" i="35"/>
  <c r="M95" i="35"/>
  <c r="U3" i="35"/>
  <c r="U8" i="35" s="1"/>
  <c r="J33" i="35"/>
  <c r="J5" i="35"/>
  <c r="AM3" i="35"/>
  <c r="J9" i="35"/>
  <c r="J8" i="35"/>
  <c r="AI3" i="35"/>
  <c r="AS34" i="35"/>
  <c r="AB34" i="35"/>
  <c r="K140" i="35"/>
  <c r="I109" i="35"/>
  <c r="R13" i="36"/>
  <c r="R16" i="36"/>
  <c r="AJ37" i="35"/>
  <c r="K38" i="35"/>
  <c r="E15" i="36"/>
  <c r="E16" i="36" s="1"/>
  <c r="E13" i="36"/>
  <c r="Q12" i="36"/>
  <c r="C37" i="35"/>
  <c r="C38" i="35" s="1"/>
  <c r="C39" i="35"/>
  <c r="V138" i="35"/>
  <c r="T126" i="35"/>
  <c r="I138" i="35"/>
  <c r="I129" i="35"/>
  <c r="E5" i="35"/>
  <c r="E96" i="35"/>
  <c r="F96" i="35"/>
  <c r="G96" i="35"/>
  <c r="S4" i="35"/>
  <c r="H96" i="35"/>
  <c r="E34" i="35"/>
  <c r="AH4" i="35"/>
  <c r="E7" i="35"/>
  <c r="L115" i="35"/>
  <c r="L119" i="35"/>
  <c r="L118" i="35"/>
  <c r="E115" i="35"/>
  <c r="T17" i="35"/>
  <c r="AB16" i="35"/>
  <c r="S117" i="35"/>
  <c r="I140" i="35"/>
  <c r="K110" i="35"/>
  <c r="O39" i="36"/>
  <c r="E118" i="35"/>
  <c r="T117" i="35"/>
  <c r="K138" i="35"/>
  <c r="K129" i="35"/>
  <c r="S16" i="35"/>
  <c r="S17" i="35" s="1"/>
  <c r="J138" i="35"/>
  <c r="V104" i="35"/>
  <c r="E106" i="35"/>
  <c r="F110" i="35"/>
  <c r="F38" i="35"/>
  <c r="Q21" i="35"/>
  <c r="AS21" i="35"/>
  <c r="P21" i="35"/>
  <c r="U23" i="35"/>
  <c r="F3" i="36"/>
  <c r="F8" i="36" s="1"/>
  <c r="I3" i="35"/>
  <c r="D35" i="35"/>
  <c r="B35" i="35"/>
  <c r="B39" i="35"/>
  <c r="E110" i="35"/>
  <c r="V107" i="35"/>
  <c r="E108" i="35"/>
  <c r="I110" i="35"/>
  <c r="C35" i="35"/>
  <c r="F115" i="35"/>
  <c r="AA25" i="35"/>
  <c r="K109" i="35"/>
  <c r="AF36" i="35"/>
  <c r="D38" i="35"/>
  <c r="E22" i="36"/>
  <c r="Q22" i="36" s="1"/>
  <c r="V22" i="36" s="1"/>
  <c r="E20" i="36"/>
  <c r="S33" i="35"/>
  <c r="W11" i="36"/>
  <c r="F39" i="36"/>
  <c r="L110" i="35"/>
  <c r="K35" i="35"/>
  <c r="T37" i="35"/>
  <c r="D39" i="35"/>
  <c r="S107" i="35"/>
  <c r="R38" i="36"/>
  <c r="AD6" i="36"/>
  <c r="W6" i="36"/>
  <c r="F118" i="35"/>
  <c r="AK33" i="35"/>
  <c r="AG33" i="35"/>
  <c r="R36" i="36"/>
  <c r="R7" i="36"/>
  <c r="L109" i="35"/>
  <c r="U17" i="35"/>
  <c r="AC7" i="35"/>
  <c r="AS7" i="35"/>
  <c r="AB7" i="35"/>
  <c r="AL37" i="35"/>
  <c r="I106" i="35"/>
  <c r="T108" i="35"/>
  <c r="U108" i="35"/>
  <c r="B21" i="36"/>
  <c r="N19" i="36"/>
  <c r="B35" i="36"/>
  <c r="B37" i="36" s="1"/>
  <c r="W23" i="36"/>
  <c r="W15" i="36"/>
  <c r="U15" i="36"/>
  <c r="T15" i="36"/>
  <c r="N16" i="36"/>
  <c r="M119" i="35" l="1"/>
  <c r="M115" i="35"/>
  <c r="AS12" i="35"/>
  <c r="AB12" i="35"/>
  <c r="AC12" i="35"/>
  <c r="T23" i="36"/>
  <c r="U99" i="35"/>
  <c r="M100" i="35"/>
  <c r="N110" i="35"/>
  <c r="N109" i="35"/>
  <c r="O110" i="35"/>
  <c r="O106" i="35"/>
  <c r="V98" i="35"/>
  <c r="M110" i="35"/>
  <c r="G101" i="35"/>
  <c r="M106" i="35"/>
  <c r="U104" i="35"/>
  <c r="P109" i="35"/>
  <c r="P106" i="35"/>
  <c r="L129" i="35"/>
  <c r="L141" i="35" s="1"/>
  <c r="M109" i="35"/>
  <c r="S36" i="35"/>
  <c r="AA36" i="35" s="1"/>
  <c r="E128" i="35"/>
  <c r="U140" i="35" s="1"/>
  <c r="H115" i="35"/>
  <c r="AJ33" i="35"/>
  <c r="J129" i="35"/>
  <c r="J141" i="35" s="1"/>
  <c r="AH36" i="35"/>
  <c r="G128" i="35"/>
  <c r="G140" i="35" s="1"/>
  <c r="H128" i="35"/>
  <c r="H140" i="35" s="1"/>
  <c r="AE37" i="35"/>
  <c r="W7" i="36"/>
  <c r="J38" i="35"/>
  <c r="G35" i="35"/>
  <c r="N39" i="36"/>
  <c r="U39" i="36" s="1"/>
  <c r="Q116" i="35"/>
  <c r="U116" i="35" s="1"/>
  <c r="P25" i="35"/>
  <c r="AO25" i="35" s="1"/>
  <c r="AO24" i="35"/>
  <c r="E125" i="35"/>
  <c r="E137" i="35" s="1"/>
  <c r="P116" i="35"/>
  <c r="P117" i="35" s="1"/>
  <c r="C40" i="36"/>
  <c r="AF33" i="35"/>
  <c r="V24" i="35"/>
  <c r="AC24" i="35" s="1"/>
  <c r="AS36" i="35"/>
  <c r="O23" i="35"/>
  <c r="G39" i="35"/>
  <c r="AB36" i="35"/>
  <c r="S32" i="32"/>
  <c r="O33" i="35"/>
  <c r="O39" i="35" s="1"/>
  <c r="Q25" i="35"/>
  <c r="AP25" i="35" s="1"/>
  <c r="Q36" i="35"/>
  <c r="AP36" i="35" s="1"/>
  <c r="O5" i="36"/>
  <c r="O35" i="36"/>
  <c r="O37" i="36" s="1"/>
  <c r="W36" i="36"/>
  <c r="U38" i="36"/>
  <c r="T26" i="35"/>
  <c r="AB25" i="35"/>
  <c r="W38" i="36"/>
  <c r="M129" i="35"/>
  <c r="V141" i="35" s="1"/>
  <c r="AB21" i="35"/>
  <c r="T128" i="35"/>
  <c r="U36" i="36"/>
  <c r="U26" i="35"/>
  <c r="AA21" i="35"/>
  <c r="H118" i="35"/>
  <c r="V140" i="35"/>
  <c r="N35" i="36"/>
  <c r="N37" i="36" s="1"/>
  <c r="V3" i="36"/>
  <c r="U3" i="36"/>
  <c r="T3" i="36"/>
  <c r="I118" i="35"/>
  <c r="S113" i="35"/>
  <c r="I115" i="35"/>
  <c r="K119" i="35"/>
  <c r="K115" i="35"/>
  <c r="G118" i="35"/>
  <c r="T113" i="35"/>
  <c r="G115" i="35"/>
  <c r="J119" i="35"/>
  <c r="J115" i="35"/>
  <c r="T31" i="36"/>
  <c r="W31" i="36"/>
  <c r="U31" i="36"/>
  <c r="P37" i="35"/>
  <c r="AO37" i="35" s="1"/>
  <c r="J118" i="35"/>
  <c r="AK72" i="32"/>
  <c r="S73" i="32"/>
  <c r="AB72" i="32"/>
  <c r="G31" i="32"/>
  <c r="G77" i="32"/>
  <c r="G29" i="32"/>
  <c r="AA28" i="32"/>
  <c r="N97" i="35"/>
  <c r="N101" i="35"/>
  <c r="F80" i="32"/>
  <c r="F32" i="32"/>
  <c r="M39" i="35"/>
  <c r="M38" i="35"/>
  <c r="M35" i="35"/>
  <c r="O97" i="35"/>
  <c r="O101" i="35"/>
  <c r="S80" i="32"/>
  <c r="P97" i="35"/>
  <c r="P101" i="35"/>
  <c r="N100" i="35"/>
  <c r="O128" i="35"/>
  <c r="O140" i="35" s="1"/>
  <c r="N45" i="35"/>
  <c r="N117" i="35"/>
  <c r="U19" i="36"/>
  <c r="O117" i="35"/>
  <c r="P128" i="35"/>
  <c r="P140" i="35" s="1"/>
  <c r="U122" i="35"/>
  <c r="V122" i="35"/>
  <c r="Y30" i="35"/>
  <c r="AC30" i="35"/>
  <c r="O37" i="35"/>
  <c r="AN37" i="35" s="1"/>
  <c r="N128" i="35"/>
  <c r="N140" i="35" s="1"/>
  <c r="AM36" i="35"/>
  <c r="AN21" i="35"/>
  <c r="U114" i="35"/>
  <c r="V114" i="35"/>
  <c r="N8" i="36"/>
  <c r="H125" i="35"/>
  <c r="E39" i="35"/>
  <c r="AF37" i="35"/>
  <c r="V95" i="35"/>
  <c r="E101" i="35"/>
  <c r="P126" i="35"/>
  <c r="N126" i="35"/>
  <c r="N37" i="35"/>
  <c r="AM34" i="35"/>
  <c r="Q126" i="35"/>
  <c r="O126" i="35"/>
  <c r="V34" i="35"/>
  <c r="Y22" i="35"/>
  <c r="AC22" i="35"/>
  <c r="T7" i="36"/>
  <c r="O26" i="35"/>
  <c r="G125" i="35"/>
  <c r="AO21" i="35"/>
  <c r="P33" i="35"/>
  <c r="P23" i="35"/>
  <c r="P27" i="35"/>
  <c r="K141" i="35"/>
  <c r="F99" i="35"/>
  <c r="F100" i="35" s="1"/>
  <c r="F97" i="35"/>
  <c r="I141" i="35"/>
  <c r="AS3" i="35"/>
  <c r="AC3" i="35"/>
  <c r="U33" i="35"/>
  <c r="U38" i="35" s="1"/>
  <c r="U5" i="35"/>
  <c r="I9" i="35"/>
  <c r="AL3" i="35"/>
  <c r="L95" i="35"/>
  <c r="I33" i="35"/>
  <c r="AH3" i="35"/>
  <c r="I5" i="35"/>
  <c r="T3" i="35"/>
  <c r="AB3" i="35" s="1"/>
  <c r="I8" i="35"/>
  <c r="I95" i="35"/>
  <c r="T95" i="35" s="1"/>
  <c r="K95" i="35"/>
  <c r="J95" i="35"/>
  <c r="V96" i="35"/>
  <c r="E99" i="35"/>
  <c r="S96" i="35"/>
  <c r="E97" i="35"/>
  <c r="U95" i="35"/>
  <c r="M101" i="35"/>
  <c r="M97" i="35"/>
  <c r="B40" i="36"/>
  <c r="V108" i="35"/>
  <c r="E109" i="35"/>
  <c r="AM21" i="35"/>
  <c r="O113" i="35"/>
  <c r="P113" i="35"/>
  <c r="V21" i="35"/>
  <c r="N33" i="35"/>
  <c r="Q113" i="35"/>
  <c r="N27" i="35"/>
  <c r="N23" i="35"/>
  <c r="N26" i="35"/>
  <c r="N113" i="35"/>
  <c r="E8" i="35"/>
  <c r="AH7" i="35"/>
  <c r="R39" i="36"/>
  <c r="E23" i="36"/>
  <c r="E24" i="36" s="1"/>
  <c r="Q20" i="36"/>
  <c r="E21" i="36"/>
  <c r="Q33" i="35"/>
  <c r="AP21" i="35"/>
  <c r="Q23" i="35"/>
  <c r="Q27" i="35"/>
  <c r="S108" i="35"/>
  <c r="F35" i="36"/>
  <c r="F37" i="36" s="1"/>
  <c r="R3" i="36"/>
  <c r="F5" i="36"/>
  <c r="AA16" i="35"/>
  <c r="H126" i="35"/>
  <c r="E35" i="35"/>
  <c r="AH34" i="35"/>
  <c r="E37" i="35"/>
  <c r="F126" i="35"/>
  <c r="G126" i="35"/>
  <c r="E126" i="35"/>
  <c r="F140" i="35"/>
  <c r="F131" i="35"/>
  <c r="F143" i="35" s="1"/>
  <c r="H97" i="35"/>
  <c r="H99" i="35"/>
  <c r="H100" i="35" s="1"/>
  <c r="S34" i="35"/>
  <c r="S5" i="35"/>
  <c r="S7" i="35"/>
  <c r="AA4" i="35"/>
  <c r="Q13" i="36"/>
  <c r="Q15" i="36"/>
  <c r="V12" i="36"/>
  <c r="S128" i="35"/>
  <c r="G97" i="35"/>
  <c r="G99" i="35"/>
  <c r="G100" i="35" s="1"/>
  <c r="AS37" i="35"/>
  <c r="AB37" i="35"/>
  <c r="J35" i="35"/>
  <c r="M125" i="35"/>
  <c r="AI33" i="35"/>
  <c r="J39" i="35"/>
  <c r="V19" i="36"/>
  <c r="T19" i="36"/>
  <c r="N21" i="36"/>
  <c r="W19" i="36"/>
  <c r="N24" i="36"/>
  <c r="E140" i="35" l="1"/>
  <c r="W39" i="36"/>
  <c r="T39" i="36"/>
  <c r="AN33" i="35"/>
  <c r="Q26" i="35"/>
  <c r="V25" i="35"/>
  <c r="V26" i="35" s="1"/>
  <c r="V36" i="35"/>
  <c r="AC36" i="35" s="1"/>
  <c r="Y24" i="35"/>
  <c r="V116" i="35"/>
  <c r="Q117" i="35"/>
  <c r="Q118" i="35" s="1"/>
  <c r="P26" i="35"/>
  <c r="V35" i="36"/>
  <c r="E131" i="35"/>
  <c r="E143" i="35" s="1"/>
  <c r="T129" i="35"/>
  <c r="O35" i="35"/>
  <c r="M141" i="35"/>
  <c r="O38" i="35"/>
  <c r="T35" i="36"/>
  <c r="U35" i="36"/>
  <c r="Q37" i="35"/>
  <c r="AP37" i="35" s="1"/>
  <c r="N40" i="36"/>
  <c r="O40" i="36"/>
  <c r="Q128" i="35"/>
  <c r="X140" i="35" s="1"/>
  <c r="P38" i="35"/>
  <c r="G32" i="32"/>
  <c r="G80" i="32"/>
  <c r="AA31" i="32"/>
  <c r="AM37" i="35"/>
  <c r="N46" i="35"/>
  <c r="Q138" i="35"/>
  <c r="W138" i="35"/>
  <c r="U126" i="35"/>
  <c r="F40" i="36"/>
  <c r="H137" i="35"/>
  <c r="H131" i="35"/>
  <c r="H143" i="35" s="1"/>
  <c r="N138" i="35"/>
  <c r="N129" i="35"/>
  <c r="N141" i="35" s="1"/>
  <c r="AC34" i="35"/>
  <c r="Y34" i="35"/>
  <c r="O138" i="35"/>
  <c r="O129" i="35"/>
  <c r="O141" i="35" s="1"/>
  <c r="G137" i="35"/>
  <c r="G131" i="35"/>
  <c r="G143" i="35" s="1"/>
  <c r="P138" i="35"/>
  <c r="P129" i="35"/>
  <c r="P141" i="35" s="1"/>
  <c r="Q16" i="36"/>
  <c r="V15" i="36"/>
  <c r="H129" i="35"/>
  <c r="H138" i="35"/>
  <c r="H127" i="35"/>
  <c r="H139" i="35" s="1"/>
  <c r="V99" i="35"/>
  <c r="E100" i="35"/>
  <c r="S99" i="35"/>
  <c r="M137" i="35"/>
  <c r="M127" i="35"/>
  <c r="M139" i="35" s="1"/>
  <c r="M131" i="35"/>
  <c r="M143" i="35" s="1"/>
  <c r="U113" i="35"/>
  <c r="V113" i="35"/>
  <c r="Q115" i="35"/>
  <c r="Q119" i="35"/>
  <c r="T8" i="35"/>
  <c r="T33" i="35"/>
  <c r="AB33" i="35" s="1"/>
  <c r="AA3" i="35"/>
  <c r="T5" i="35"/>
  <c r="AS33" i="35"/>
  <c r="U35" i="35"/>
  <c r="E138" i="35"/>
  <c r="E129" i="35"/>
  <c r="E127" i="35"/>
  <c r="E139" i="35" s="1"/>
  <c r="U138" i="35"/>
  <c r="AR126" i="35"/>
  <c r="X138" i="35"/>
  <c r="S126" i="35"/>
  <c r="P125" i="35"/>
  <c r="AM33" i="35"/>
  <c r="Q125" i="35"/>
  <c r="O125" i="35"/>
  <c r="N39" i="35"/>
  <c r="N35" i="35"/>
  <c r="N38" i="35"/>
  <c r="N125" i="35"/>
  <c r="AA7" i="35"/>
  <c r="S8" i="35"/>
  <c r="G138" i="35"/>
  <c r="G127" i="35"/>
  <c r="G139" i="35" s="1"/>
  <c r="G129" i="35"/>
  <c r="R35" i="36"/>
  <c r="R40" i="36" s="1"/>
  <c r="W3" i="36"/>
  <c r="R5" i="36"/>
  <c r="AP33" i="35"/>
  <c r="Q35" i="35"/>
  <c r="Q39" i="35"/>
  <c r="AC21" i="35"/>
  <c r="V33" i="35"/>
  <c r="Y21" i="35"/>
  <c r="V23" i="35"/>
  <c r="R8" i="36"/>
  <c r="F129" i="35"/>
  <c r="F138" i="35"/>
  <c r="F127" i="35"/>
  <c r="F139" i="35" s="1"/>
  <c r="P119" i="35"/>
  <c r="P115" i="35"/>
  <c r="P118" i="35"/>
  <c r="L125" i="35"/>
  <c r="AH33" i="35"/>
  <c r="I35" i="35"/>
  <c r="AL33" i="35"/>
  <c r="I39" i="35"/>
  <c r="I125" i="35"/>
  <c r="J125" i="35"/>
  <c r="K125" i="35"/>
  <c r="I38" i="35"/>
  <c r="P35" i="35"/>
  <c r="AO33" i="35"/>
  <c r="P39" i="35"/>
  <c r="E38" i="35"/>
  <c r="AH37" i="35"/>
  <c r="E4" i="36"/>
  <c r="E6" i="36"/>
  <c r="N115" i="35"/>
  <c r="N119" i="35"/>
  <c r="N118" i="35"/>
  <c r="O115" i="35"/>
  <c r="O119" i="35"/>
  <c r="O118" i="35"/>
  <c r="J97" i="35"/>
  <c r="J101" i="35"/>
  <c r="J100" i="35"/>
  <c r="L97" i="35"/>
  <c r="L101" i="35"/>
  <c r="L100" i="35"/>
  <c r="K97" i="35"/>
  <c r="K101" i="35"/>
  <c r="K100" i="35"/>
  <c r="S37" i="35"/>
  <c r="S35" i="35"/>
  <c r="AA34" i="35"/>
  <c r="M130" i="35"/>
  <c r="M142" i="35" s="1"/>
  <c r="Q21" i="36"/>
  <c r="Q23" i="36"/>
  <c r="V20" i="36"/>
  <c r="S95" i="35"/>
  <c r="I101" i="35"/>
  <c r="I97" i="35"/>
  <c r="I100" i="35"/>
  <c r="V37" i="35" l="1"/>
  <c r="Y36" i="35"/>
  <c r="Y25" i="35"/>
  <c r="AC25" i="35"/>
  <c r="U128" i="35"/>
  <c r="U117" i="35"/>
  <c r="V117" i="35"/>
  <c r="W140" i="35"/>
  <c r="AR128" i="35"/>
  <c r="Q38" i="35"/>
  <c r="Q140" i="35"/>
  <c r="Q129" i="35"/>
  <c r="W141" i="35" s="1"/>
  <c r="AC37" i="35"/>
  <c r="Y37" i="35"/>
  <c r="E7" i="36"/>
  <c r="E8" i="36" s="1"/>
  <c r="E36" i="36"/>
  <c r="E5" i="36"/>
  <c r="Q4" i="36"/>
  <c r="J137" i="35"/>
  <c r="J131" i="35"/>
  <c r="J143" i="35" s="1"/>
  <c r="J127" i="35"/>
  <c r="J139" i="35" s="1"/>
  <c r="J130" i="35"/>
  <c r="J142" i="35" s="1"/>
  <c r="I137" i="35"/>
  <c r="S125" i="35"/>
  <c r="U137" i="35"/>
  <c r="I127" i="35"/>
  <c r="I139" i="35" s="1"/>
  <c r="I131" i="35"/>
  <c r="I143" i="35" s="1"/>
  <c r="I130" i="35"/>
  <c r="I142" i="35" s="1"/>
  <c r="R37" i="36"/>
  <c r="W35" i="36"/>
  <c r="P137" i="35"/>
  <c r="P127" i="35"/>
  <c r="P139" i="35" s="1"/>
  <c r="P130" i="35"/>
  <c r="P142" i="35" s="1"/>
  <c r="P131" i="35"/>
  <c r="P143" i="35" s="1"/>
  <c r="Y33" i="35"/>
  <c r="AC33" i="35"/>
  <c r="V35" i="35"/>
  <c r="V38" i="35"/>
  <c r="G141" i="35"/>
  <c r="G130" i="35"/>
  <c r="G142" i="35" s="1"/>
  <c r="N137" i="35"/>
  <c r="N131" i="35"/>
  <c r="N143" i="35" s="1"/>
  <c r="N127" i="35"/>
  <c r="N139" i="35" s="1"/>
  <c r="N130" i="35"/>
  <c r="N142" i="35" s="1"/>
  <c r="T125" i="35"/>
  <c r="S38" i="35"/>
  <c r="AA37" i="35"/>
  <c r="V137" i="35"/>
  <c r="H141" i="35"/>
  <c r="H130" i="35"/>
  <c r="H142" i="35" s="1"/>
  <c r="Q24" i="36"/>
  <c r="V23" i="36"/>
  <c r="F130" i="35"/>
  <c r="F142" i="35" s="1"/>
  <c r="F141" i="35"/>
  <c r="O137" i="35"/>
  <c r="O131" i="35"/>
  <c r="O143" i="35" s="1"/>
  <c r="O127" i="35"/>
  <c r="O139" i="35" s="1"/>
  <c r="O130" i="35"/>
  <c r="O142" i="35" s="1"/>
  <c r="AA33" i="35"/>
  <c r="T35" i="35"/>
  <c r="T38" i="35"/>
  <c r="L137" i="35"/>
  <c r="L127" i="35"/>
  <c r="L139" i="35" s="1"/>
  <c r="L131" i="35"/>
  <c r="L143" i="35" s="1"/>
  <c r="L130" i="35"/>
  <c r="L142" i="35" s="1"/>
  <c r="E38" i="36"/>
  <c r="Q6" i="36"/>
  <c r="K137" i="35"/>
  <c r="K131" i="35"/>
  <c r="K143" i="35" s="1"/>
  <c r="K127" i="35"/>
  <c r="K139" i="35" s="1"/>
  <c r="K130" i="35"/>
  <c r="K142" i="35" s="1"/>
  <c r="Q137" i="35"/>
  <c r="W137" i="35"/>
  <c r="X137" i="35"/>
  <c r="AR125" i="35"/>
  <c r="U125" i="35"/>
  <c r="Q127" i="35"/>
  <c r="Q139" i="35" s="1"/>
  <c r="Q131" i="35"/>
  <c r="Q143" i="35" s="1"/>
  <c r="E130" i="35"/>
  <c r="E142" i="35" s="1"/>
  <c r="E141" i="35"/>
  <c r="S129" i="35"/>
  <c r="U141" i="35"/>
  <c r="Q130" i="35" l="1"/>
  <c r="Q142" i="35" s="1"/>
  <c r="X141" i="35"/>
  <c r="Q141" i="35"/>
  <c r="U129" i="35"/>
  <c r="AR129" i="35"/>
  <c r="Q36" i="36"/>
  <c r="Q5" i="36"/>
  <c r="Q7" i="36"/>
  <c r="V4" i="36"/>
  <c r="Q38" i="36"/>
  <c r="V38" i="36" s="1"/>
  <c r="V6" i="36"/>
  <c r="E39" i="36"/>
  <c r="E40" i="36" s="1"/>
  <c r="E37" i="36"/>
  <c r="Q8" i="36" l="1"/>
  <c r="V7" i="36"/>
  <c r="Q37" i="36"/>
  <c r="Q39" i="36"/>
  <c r="V36" i="36"/>
  <c r="Q40" i="36" l="1"/>
  <c r="V39" i="36"/>
  <c r="N43" i="35" l="1"/>
  <c r="N44" i="3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Espen Gundersen</author>
  </authors>
  <commentList>
    <comment ref="I61" authorId="0" shapeId="0" xr:uid="{D5435838-FB58-4298-9422-3F730065F59A}">
      <text>
        <r>
          <rPr>
            <b/>
            <sz val="9"/>
            <color indexed="81"/>
            <rFont val="Tahoma"/>
            <family val="2"/>
          </rPr>
          <t>Espen Gundersen:</t>
        </r>
        <r>
          <rPr>
            <sz val="9"/>
            <color indexed="81"/>
            <rFont val="Tahoma"/>
            <family val="2"/>
          </rPr>
          <t xml:space="preserve">
Positive effect on OI 3Q19 from change in OB exchange rates</t>
        </r>
      </text>
    </comment>
    <comment ref="I69" authorId="0" shapeId="0" xr:uid="{8898679F-1EAE-49F9-B4A1-91D74C4326FC}">
      <text>
        <r>
          <rPr>
            <b/>
            <sz val="9"/>
            <color indexed="81"/>
            <rFont val="Tahoma"/>
            <family val="2"/>
          </rPr>
          <t>Espen Gundersen:</t>
        </r>
        <r>
          <rPr>
            <sz val="9"/>
            <color indexed="81"/>
            <rFont val="Tahoma"/>
            <family val="2"/>
          </rPr>
          <t xml:space="preserve">
Positive effect on OI 3Q20 from change in OB exchange rates</t>
        </r>
      </text>
    </comment>
    <comment ref="I74" authorId="0" shapeId="0" xr:uid="{BDCC32AA-8762-4755-84BD-143A60339D62}">
      <text>
        <r>
          <rPr>
            <b/>
            <sz val="9"/>
            <color indexed="81"/>
            <rFont val="Tahoma"/>
            <family val="2"/>
          </rPr>
          <t>Espen Gundersen:</t>
        </r>
        <r>
          <rPr>
            <sz val="9"/>
            <color indexed="81"/>
            <rFont val="Tahoma"/>
            <family val="2"/>
          </rPr>
          <t xml:space="preserve">
Adjusting 3Q20 OI back to 3Q19 rates</t>
        </r>
      </text>
    </comment>
  </commentList>
</comments>
</file>

<file path=xl/sharedStrings.xml><?xml version="1.0" encoding="utf-8"?>
<sst xmlns="http://schemas.openxmlformats.org/spreadsheetml/2006/main" count="1294" uniqueCount="280">
  <si>
    <t>MNOK</t>
  </si>
  <si>
    <t>4Q21</t>
  </si>
  <si>
    <t>Adjust</t>
  </si>
  <si>
    <t>Actual versus</t>
  </si>
  <si>
    <t>TOMRA COLLECTION</t>
  </si>
  <si>
    <t>Actual</t>
  </si>
  <si>
    <t>Forecast</t>
  </si>
  <si>
    <t>Budget</t>
  </si>
  <si>
    <t>Consensus</t>
  </si>
  <si>
    <t>Last year</t>
  </si>
  <si>
    <t>LTIP</t>
  </si>
  <si>
    <t>Cap R&amp;D</t>
  </si>
  <si>
    <t>Reserve</t>
  </si>
  <si>
    <t>SUM</t>
  </si>
  <si>
    <t>Revenues</t>
  </si>
  <si>
    <t>Gross contribution</t>
  </si>
  <si>
    <t>Commitert 120MNOK, for 2021 og 2022.</t>
  </si>
  <si>
    <t xml:space="preserve"> - GM%</t>
  </si>
  <si>
    <t>28MNOK of sourcing cost</t>
  </si>
  <si>
    <t>Aktivere digital?</t>
  </si>
  <si>
    <t>15MNOK Germany</t>
  </si>
  <si>
    <t>Operating expenses</t>
  </si>
  <si>
    <t>3Q21 / 3Q20 19% increase in op.exp</t>
  </si>
  <si>
    <t>4Q21 / 4Q20  =</t>
  </si>
  <si>
    <t>4MNOK USA, 5MNOK Solution hub,+ ECE</t>
  </si>
  <si>
    <t>EBITA</t>
  </si>
  <si>
    <t xml:space="preserve"> - EBITA%</t>
  </si>
  <si>
    <t>TRM</t>
  </si>
  <si>
    <t>Guide:</t>
  </si>
  <si>
    <t>TF</t>
  </si>
  <si>
    <t>GROUP FUNCTIONS</t>
  </si>
  <si>
    <t>ChallangeR</t>
  </si>
  <si>
    <t>TOMRA GROUP</t>
  </si>
  <si>
    <t>NOTE AMORTIZATIONS!</t>
  </si>
  <si>
    <t>Amortizations</t>
  </si>
  <si>
    <t>EBIT</t>
  </si>
  <si>
    <t>Net finance</t>
  </si>
  <si>
    <t>Profit before tax</t>
  </si>
  <si>
    <t>Taxes</t>
  </si>
  <si>
    <t>Minorities</t>
  </si>
  <si>
    <t>Profit after tax</t>
  </si>
  <si>
    <t>EPS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</si>
  <si>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</si>
  <si>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</si>
  <si>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</si>
  <si>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</si>
  <si>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</si>
  <si>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</si>
  <si>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</si>
  <si>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</si>
  <si>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</si>
  <si>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</si>
  <si>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</si>
  <si>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1Q22</t>
  </si>
  <si>
    <t>2Q22</t>
  </si>
  <si>
    <t>3Q22</t>
  </si>
  <si>
    <t>4Q22</t>
  </si>
  <si>
    <t>20 vs 19</t>
  </si>
  <si>
    <t>21 vs 20</t>
  </si>
  <si>
    <t>22 vs 21</t>
  </si>
  <si>
    <t>Bud 21</t>
  </si>
  <si>
    <t>Dev</t>
  </si>
  <si>
    <t>TCS</t>
  </si>
  <si>
    <t>Budget 22</t>
  </si>
  <si>
    <t>Diff</t>
  </si>
  <si>
    <t xml:space="preserve"> - gross margin</t>
  </si>
  <si>
    <t xml:space="preserve"> - margin</t>
  </si>
  <si>
    <t>Op.exp in % of sales</t>
  </si>
  <si>
    <t>TFS</t>
  </si>
  <si>
    <t>GF</t>
  </si>
  <si>
    <t>GROUP</t>
  </si>
  <si>
    <t>Adjust revenues Food</t>
  </si>
  <si>
    <t>IKKE OPPDATERT PR 19.04.2022</t>
  </si>
  <si>
    <t>Legge inn forecast!</t>
  </si>
  <si>
    <t>22 vs 19</t>
  </si>
  <si>
    <t>Til styret</t>
  </si>
  <si>
    <t>19 vs 18</t>
  </si>
  <si>
    <t>OLD FORMAT</t>
  </si>
  <si>
    <t>Nominal figures</t>
  </si>
  <si>
    <t>Currency adjusted figures</t>
  </si>
  <si>
    <t>Segment</t>
  </si>
  <si>
    <t>Figures in NOK million</t>
  </si>
  <si>
    <t>Total</t>
  </si>
  <si>
    <t>Tomra Collection Solutions</t>
  </si>
  <si>
    <t>Total revenues</t>
  </si>
  <si>
    <t xml:space="preserve"> - %</t>
  </si>
  <si>
    <t>EBITA before other items</t>
  </si>
  <si>
    <t>Tomra Sorting Solutions</t>
  </si>
  <si>
    <t>Group Functions</t>
  </si>
  <si>
    <t>-</t>
  </si>
  <si>
    <t>TOMRA Group</t>
  </si>
  <si>
    <t>NEW FORMAT</t>
  </si>
  <si>
    <t>Tomra Recycling Mining</t>
  </si>
  <si>
    <t>Tomra Food Solutions</t>
  </si>
  <si>
    <t>Deviations</t>
  </si>
  <si>
    <t>EXCHANGE RATES</t>
  </si>
  <si>
    <t>Avg Qtr</t>
  </si>
  <si>
    <t>Avg Yr</t>
  </si>
  <si>
    <t>EUR</t>
  </si>
  <si>
    <t>USD</t>
  </si>
  <si>
    <t>Order backlog</t>
  </si>
  <si>
    <t>Order intake</t>
  </si>
  <si>
    <t>Profit and Loss</t>
  </si>
  <si>
    <t xml:space="preserve">Operating revenues </t>
  </si>
  <si>
    <t xml:space="preserve">        Sales growth %</t>
  </si>
  <si>
    <t>Cost of goods sold</t>
  </si>
  <si>
    <t xml:space="preserve">        in %</t>
  </si>
  <si>
    <t>Net financial income</t>
  </si>
  <si>
    <t>Net profit</t>
  </si>
  <si>
    <t>Minority interest</t>
  </si>
  <si>
    <t>Earnings per share (EPS)</t>
  </si>
  <si>
    <t>EBITDA (without IFRS 16)</t>
  </si>
  <si>
    <t>EBITDA (with IFRS 16)</t>
  </si>
  <si>
    <t>Collection</t>
  </si>
  <si>
    <t xml:space="preserve"> - Northern Europe</t>
  </si>
  <si>
    <t xml:space="preserve"> - Europe (ex Northern)</t>
  </si>
  <si>
    <t xml:space="preserve"> - North America</t>
  </si>
  <si>
    <t xml:space="preserve"> - Rest of World</t>
  </si>
  <si>
    <t>Recycling</t>
  </si>
  <si>
    <t xml:space="preserve"> - Europe</t>
  </si>
  <si>
    <t xml:space="preserve"> - South America</t>
  </si>
  <si>
    <t xml:space="preserve"> - Asia</t>
  </si>
  <si>
    <t xml:space="preserve"> - Oceania</t>
  </si>
  <si>
    <t xml:space="preserve"> - Africa</t>
  </si>
  <si>
    <t>Food</t>
  </si>
  <si>
    <t>Orders</t>
  </si>
  <si>
    <t>Conv. ratio TRM</t>
  </si>
  <si>
    <t>Conv. ratio TFS</t>
  </si>
  <si>
    <t xml:space="preserve"> 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</si>
  <si>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</si>
  <si>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</si>
  <si>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</si>
  <si>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</si>
  <si>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</si>
  <si>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</si>
  <si>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</si>
  <si>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</si>
  <si>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</si>
  <si>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</si>
  <si>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</si>
  <si>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</si>
  <si>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</si>
  <si>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</si>
  <si>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</si>
  <si>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</si>
  <si>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</si>
  <si>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</si>
  <si>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</si>
  <si>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</si>
  <si>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</si>
  <si>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</si>
  <si>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</si>
  <si>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</si>
  <si>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</si>
  <si>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</si>
  <si>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</si>
  <si>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</si>
  <si>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</si>
  <si>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</si>
  <si>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</si>
  <si>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</si>
  <si>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</si>
  <si>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</si>
  <si>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</si>
  <si>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</si>
  <si>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</si>
  <si>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</si>
  <si>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</si>
  <si>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</si>
  <si>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</si>
  <si>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</si>
  <si>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</si>
  <si>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</si>
  <si>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</si>
  <si>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</si>
  <si>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</si>
  <si>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</si>
  <si>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Other items</t>
  </si>
  <si>
    <t>Profit from cont. operations</t>
  </si>
  <si>
    <t>Discontinued operations</t>
  </si>
  <si>
    <t>EBIT before other items</t>
  </si>
  <si>
    <t>Average Qtr</t>
  </si>
  <si>
    <t>Conv. Ratio</t>
  </si>
  <si>
    <t>Backlog</t>
  </si>
  <si>
    <t>Inorganic backlog</t>
  </si>
  <si>
    <t>Intake</t>
  </si>
  <si>
    <t>Intake inorganic</t>
  </si>
  <si>
    <t>Revenues Inorganic</t>
  </si>
  <si>
    <t>Currency effect 1Q20</t>
  </si>
  <si>
    <t>Check</t>
  </si>
  <si>
    <t>Rate B/S</t>
  </si>
  <si>
    <t>Rate P/L</t>
  </si>
  <si>
    <t>CURRENBCY ADJUSTED</t>
  </si>
  <si>
    <t>ANDEL SALG I VALUTA</t>
  </si>
  <si>
    <t>Rate</t>
  </si>
  <si>
    <t>MEUR</t>
  </si>
  <si>
    <t>Order backlog IB</t>
  </si>
  <si>
    <t>ENDRING ÅR OVER ÅR</t>
  </si>
  <si>
    <t>Order backlog UB</t>
  </si>
  <si>
    <t xml:space="preserve"> - test</t>
  </si>
  <si>
    <t>Order backlog UB at IB rates</t>
  </si>
  <si>
    <t>NOK EFFEKT PÅ ENDRING</t>
  </si>
  <si>
    <t>JUSTERT</t>
  </si>
  <si>
    <t>Inntake</t>
  </si>
  <si>
    <t>Curency effect on OI</t>
  </si>
  <si>
    <t>1Q rate vs end 4Q rate</t>
  </si>
  <si>
    <t>Currency nuteral OI</t>
  </si>
  <si>
    <t>Why is intake not more down 1st half 19 vs 1st half18?</t>
  </si>
  <si>
    <t>Total currency effect OI</t>
  </si>
  <si>
    <t>O.I 6 months 18 according to reports</t>
  </si>
  <si>
    <t>Total currency OB UB</t>
  </si>
  <si>
    <t>O.I 6 months 19 according to reports</t>
  </si>
  <si>
    <t>OB IB</t>
  </si>
  <si>
    <t>Deviation</t>
  </si>
  <si>
    <t>Service up Food</t>
  </si>
  <si>
    <t>Reserve built 1st half 2018 (95 MNOK)</t>
  </si>
  <si>
    <t>Revenues reported</t>
  </si>
  <si>
    <t>Reserve releasted 1st half 2019 (50 MNOK)</t>
  </si>
  <si>
    <t>OB UB</t>
  </si>
  <si>
    <t>Revenues at 31 rate</t>
  </si>
  <si>
    <t>Actual reduction in reported o.i (2332 vs 2215)</t>
  </si>
  <si>
    <t>TEST</t>
  </si>
  <si>
    <t>Assumes that BBC order backlog as of 31.3 = Inorganic backlog increase = Inorganic order intake</t>
  </si>
  <si>
    <t>60MNOK i reserve pr 1Q18</t>
  </si>
  <si>
    <t>Opening balance</t>
  </si>
  <si>
    <t>OB</t>
  </si>
  <si>
    <t>Closing balance</t>
  </si>
  <si>
    <t>CB</t>
  </si>
  <si>
    <t>Change</t>
  </si>
  <si>
    <t>Tomra Sorting Solutions NOK</t>
  </si>
  <si>
    <t>vs 3Q19</t>
  </si>
  <si>
    <t>vs 2Q20</t>
  </si>
  <si>
    <t>Test</t>
  </si>
  <si>
    <t>Tomra Sorting Solutions EUR</t>
  </si>
  <si>
    <t>From TSS reports (for test purposes)</t>
  </si>
  <si>
    <t>BACKLOG</t>
  </si>
  <si>
    <t>Analytisk test</t>
  </si>
  <si>
    <t>Backlog NOK 30.09.19</t>
  </si>
  <si>
    <t>Group adjustment</t>
  </si>
  <si>
    <t>Backlog NOK 30.09.20</t>
  </si>
  <si>
    <t>Change in NOK</t>
  </si>
  <si>
    <t>EUR/NOK</t>
  </si>
  <si>
    <t>Change vs last year</t>
  </si>
  <si>
    <t>USD/NOK</t>
  </si>
  <si>
    <t>50/50 EUR and USD =</t>
  </si>
  <si>
    <t>INTAKE</t>
  </si>
  <si>
    <t xml:space="preserve">Analytisk </t>
  </si>
  <si>
    <t>Bruker derfor 0%</t>
  </si>
  <si>
    <t>Change vs last quarter</t>
  </si>
  <si>
    <t>Adjusted figures</t>
  </si>
  <si>
    <t>The currency effect on order backlog in %</t>
  </si>
  <si>
    <t>The currency effect on order intake in %</t>
  </si>
  <si>
    <t>The currency effect on order backlog in NOK</t>
  </si>
  <si>
    <t>The currency effect on order intake in NOK</t>
  </si>
  <si>
    <t>Order backlog in EUR IB</t>
  </si>
  <si>
    <t>Order intake 3Q19 in NOK</t>
  </si>
  <si>
    <t>Order backlog in EUR UB</t>
  </si>
  <si>
    <t>Order intake 3Q19</t>
  </si>
  <si>
    <t>Order backlog IB 3Q19</t>
  </si>
  <si>
    <t>Order intake 3Q20</t>
  </si>
  <si>
    <t>EUR IB</t>
  </si>
  <si>
    <t>EUR IB 3Q19</t>
  </si>
  <si>
    <t>EURUB</t>
  </si>
  <si>
    <t>EUR UB 3Q19</t>
  </si>
  <si>
    <t>USD IB</t>
  </si>
  <si>
    <t>Adjusted intake 3Q19 in NOK</t>
  </si>
  <si>
    <t>40/60 EUR and USD =</t>
  </si>
  <si>
    <t>USD UB</t>
  </si>
  <si>
    <t>Order intake 3Q20 in NOK</t>
  </si>
  <si>
    <t>Bruker derfor -15%</t>
  </si>
  <si>
    <t>Order backlog in NOK IB</t>
  </si>
  <si>
    <t>Order backlog in NOK UB</t>
  </si>
  <si>
    <t>Order backlog IB 3Q20</t>
  </si>
  <si>
    <t>EUR IB 3Q20</t>
  </si>
  <si>
    <t>Currency adjusted down</t>
  </si>
  <si>
    <t>EUR UB 3Q20</t>
  </si>
  <si>
    <t>Adjusted intake 3Q20 in NOK 1)</t>
  </si>
  <si>
    <t>Average EUR/NOK 3Q20</t>
  </si>
  <si>
    <t>Average EUR/NOK 3Q19</t>
  </si>
  <si>
    <t>Adjusted intake 3Q20 in NOK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</si>
</sst>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 * #,##0.00_ ;_ * \-#,##0.00_ ;_ * &quot;-&quot;??_ ;_ @_ "/>
    <numFmt numFmtId="165" formatCode="#,##0.0_);[Red]\(#,##0.0\)"/>
    <numFmt numFmtId="166" formatCode="0_);[Red]\(0\)"/>
    <numFmt numFmtId="167" formatCode="0.0_);[Red]\(0.0\)"/>
    <numFmt numFmtId="168" formatCode="0.00_);[Red]\(0.00\)"/>
    <numFmt numFmtId="169" formatCode="0.0\ %"/>
    <numFmt numFmtId="170" formatCode="0.0"/>
    <numFmt numFmtId="171" formatCode="#,##0.0"/>
    <numFmt numFmtId="172" formatCode="_ * #,##0.0_ ;_ * \-#,##0.0_ ;_ * &quot;-&quot;??_ ;_ @_ "/>
    <numFmt numFmtId="173" formatCode="_ * #,##0_ ;_ * \-#,##0_ ;_ * &quot;-&quot;??_ ;_ @_ "/>
    <numFmt numFmtId="174" formatCode="#,##0.0_ ;[Red]\-#,##0.0\ "/>
    <numFmt numFmtId="175" formatCode="#,##0.00_ ;[Red]\-#,##0.00\ "/>
    <numFmt numFmtId="176" formatCode="0.0_ ;[Red]\-0.0\ "/>
    <numFmt numFmtId="177" formatCode="0.00_ ;[Red]\-0.00\ "/>
    <numFmt numFmtId="178" formatCode="0.0000"/>
    <numFmt numFmtId="179" formatCode="#,##0_ ;[Red]\-#,##0\ "/>
    <numFmt numFmtId="180" formatCode="#,##0.0;[Red]\-#,##0.0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sz val="8"/>
      <color rgb="FF0070C0"/>
      <name val="Arial"/>
      <family val="2"/>
    </font>
    <font>
      <sz val="8"/>
      <name val="Arial"/>
      <family val="2"/>
    </font>
    <font>
      <b/>
      <sz val="10"/>
      <color theme="0"/>
      <name val="Calibri"/>
      <family val="2"/>
      <scheme val="minor"/>
    </font>
    <font>
      <i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8CAE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9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164" fontId="9" fillId="0" borderId="0" applyFont="0" applyFill="0" applyBorder="0" applyAlignment="0" applyProtection="0"/>
    <xf numFmtId="0" fontId="5" fillId="0" borderId="0"/>
    <xf numFmtId="0" fontId="20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164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9" fillId="0" borderId="0" applyFont="0" applyFill="0" applyBorder="0" applyAlignment="0" applyProtection="0"/>
    <xf numFmtId="0" fontId="4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22" fillId="0" borderId="0"/>
    <xf numFmtId="0" fontId="3" fillId="0" borderId="0"/>
    <xf numFmtId="0" fontId="22" fillId="0" borderId="0"/>
    <xf numFmtId="0" fontId="2" fillId="0" borderId="0"/>
  </cellStyleXfs>
  <cellXfs count="269">
    <xf numFmtId="0" fontId="0" fillId="0" borderId="0" xfId="0"/>
    <xf numFmtId="0" fontId="10" fillId="0" borderId="0" xfId="0" applyFont="1"/>
    <xf numFmtId="9" fontId="10" fillId="0" borderId="0" xfId="0" applyNumberFormat="1" applyFont="1"/>
    <xf numFmtId="0" fontId="16" fillId="6" borderId="0" xfId="5" applyFont="1" applyFill="1" applyAlignment="1">
      <alignment horizontal="right"/>
    </xf>
    <xf numFmtId="173" fontId="18" fillId="0" borderId="0" xfId="6" applyNumberFormat="1" applyFont="1"/>
    <xf numFmtId="0" fontId="18" fillId="0" borderId="0" xfId="5" applyFont="1"/>
    <xf numFmtId="0" fontId="6" fillId="0" borderId="0" xfId="5"/>
    <xf numFmtId="0" fontId="17" fillId="0" borderId="0" xfId="5" applyFont="1"/>
    <xf numFmtId="0" fontId="17" fillId="0" borderId="10" xfId="5" applyFont="1" applyBorder="1" applyAlignment="1">
      <alignment horizontal="center"/>
    </xf>
    <xf numFmtId="164" fontId="6" fillId="0" borderId="0" xfId="5" applyNumberFormat="1"/>
    <xf numFmtId="0" fontId="6" fillId="0" borderId="0" xfId="5" applyAlignment="1">
      <alignment horizontal="center"/>
    </xf>
    <xf numFmtId="0" fontId="19" fillId="8" borderId="24" xfId="5" applyFont="1" applyFill="1" applyBorder="1" applyAlignment="1">
      <alignment horizontal="center"/>
    </xf>
    <xf numFmtId="0" fontId="19" fillId="7" borderId="24" xfId="5" applyFont="1" applyFill="1" applyBorder="1" applyAlignment="1">
      <alignment horizontal="center"/>
    </xf>
    <xf numFmtId="173" fontId="17" fillId="0" borderId="10" xfId="6" applyNumberFormat="1" applyFont="1" applyBorder="1"/>
    <xf numFmtId="173" fontId="17" fillId="0" borderId="10" xfId="6" applyNumberFormat="1" applyFont="1" applyBorder="1" applyAlignment="1">
      <alignment horizontal="center"/>
    </xf>
    <xf numFmtId="14" fontId="10" fillId="0" borderId="0" xfId="0" applyNumberFormat="1" applyFont="1"/>
    <xf numFmtId="174" fontId="0" fillId="0" borderId="0" xfId="0" applyNumberFormat="1"/>
    <xf numFmtId="175" fontId="0" fillId="0" borderId="0" xfId="0" applyNumberFormat="1"/>
    <xf numFmtId="175" fontId="18" fillId="0" borderId="0" xfId="5" applyNumberFormat="1" applyFont="1"/>
    <xf numFmtId="175" fontId="6" fillId="0" borderId="0" xfId="5" applyNumberFormat="1"/>
    <xf numFmtId="173" fontId="6" fillId="0" borderId="0" xfId="5" applyNumberFormat="1"/>
    <xf numFmtId="9" fontId="6" fillId="0" borderId="0" xfId="5" applyNumberFormat="1"/>
    <xf numFmtId="9" fontId="6" fillId="0" borderId="0" xfId="5" applyNumberFormat="1" applyAlignment="1">
      <alignment horizontal="center"/>
    </xf>
    <xf numFmtId="164" fontId="6" fillId="0" borderId="0" xfId="5" applyNumberFormat="1" applyAlignment="1">
      <alignment horizontal="center"/>
    </xf>
    <xf numFmtId="173" fontId="6" fillId="0" borderId="0" xfId="5" applyNumberFormat="1" applyAlignment="1">
      <alignment horizontal="center"/>
    </xf>
    <xf numFmtId="172" fontId="6" fillId="0" borderId="0" xfId="5" applyNumberFormat="1"/>
    <xf numFmtId="9" fontId="0" fillId="0" borderId="0" xfId="0" applyNumberFormat="1"/>
    <xf numFmtId="0" fontId="23" fillId="2" borderId="19" xfId="0" applyFont="1" applyFill="1" applyBorder="1"/>
    <xf numFmtId="165" fontId="24" fillId="0" borderId="0" xfId="0" applyNumberFormat="1" applyFont="1"/>
    <xf numFmtId="0" fontId="24" fillId="0" borderId="0" xfId="0" applyFont="1"/>
    <xf numFmtId="0" fontId="23" fillId="2" borderId="20" xfId="0" applyFont="1" applyFill="1" applyBorder="1" applyAlignment="1">
      <alignment horizontal="centerContinuous"/>
    </xf>
    <xf numFmtId="0" fontId="23" fillId="2" borderId="21" xfId="0" applyFont="1" applyFill="1" applyBorder="1" applyAlignment="1">
      <alignment horizontal="centerContinuous"/>
    </xf>
    <xf numFmtId="0" fontId="23" fillId="2" borderId="22" xfId="0" applyFont="1" applyFill="1" applyBorder="1" applyAlignment="1">
      <alignment horizontal="centerContinuous"/>
    </xf>
    <xf numFmtId="0" fontId="23" fillId="2" borderId="19" xfId="0" applyFont="1" applyFill="1" applyBorder="1" applyAlignment="1">
      <alignment horizontal="centerContinuous"/>
    </xf>
    <xf numFmtId="176" fontId="24" fillId="0" borderId="0" xfId="0" applyNumberFormat="1" applyFont="1"/>
    <xf numFmtId="0" fontId="25" fillId="3" borderId="19" xfId="0" applyFont="1" applyFill="1" applyBorder="1"/>
    <xf numFmtId="0" fontId="25" fillId="0" borderId="0" xfId="0" applyFont="1" applyAlignment="1">
      <alignment horizontal="center"/>
    </xf>
    <xf numFmtId="0" fontId="25" fillId="3" borderId="5" xfId="0" applyFont="1" applyFill="1" applyBorder="1" applyAlignment="1">
      <alignment horizontal="center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0" fontId="25" fillId="3" borderId="20" xfId="0" applyFont="1" applyFill="1" applyBorder="1" applyAlignment="1">
      <alignment horizontal="center"/>
    </xf>
    <xf numFmtId="0" fontId="25" fillId="3" borderId="21" xfId="0" applyFont="1" applyFill="1" applyBorder="1" applyAlignment="1">
      <alignment horizontal="center"/>
    </xf>
    <xf numFmtId="0" fontId="25" fillId="3" borderId="22" xfId="0" applyFont="1" applyFill="1" applyBorder="1" applyAlignment="1">
      <alignment horizontal="center"/>
    </xf>
    <xf numFmtId="169" fontId="26" fillId="0" borderId="0" xfId="1" applyNumberFormat="1" applyFont="1" applyAlignment="1">
      <alignment wrapText="1"/>
    </xf>
    <xf numFmtId="169" fontId="26" fillId="0" borderId="1" xfId="1" applyNumberFormat="1" applyFont="1" applyBorder="1" applyAlignment="1">
      <alignment wrapText="1"/>
    </xf>
    <xf numFmtId="169" fontId="26" fillId="0" borderId="2" xfId="1" applyNumberFormat="1" applyFont="1" applyBorder="1" applyAlignment="1">
      <alignment wrapText="1"/>
    </xf>
    <xf numFmtId="169" fontId="26" fillId="0" borderId="0" xfId="1" applyNumberFormat="1" applyFont="1"/>
    <xf numFmtId="169" fontId="26" fillId="0" borderId="1" xfId="1" applyNumberFormat="1" applyFont="1" applyBorder="1"/>
    <xf numFmtId="169" fontId="26" fillId="0" borderId="2" xfId="1" applyNumberFormat="1" applyFont="1" applyBorder="1"/>
    <xf numFmtId="165" fontId="27" fillId="0" borderId="0" xfId="0" applyNumberFormat="1" applyFont="1" applyAlignment="1">
      <alignment wrapText="1"/>
    </xf>
    <xf numFmtId="165" fontId="27" fillId="0" borderId="1" xfId="0" applyNumberFormat="1" applyFont="1" applyBorder="1" applyAlignment="1">
      <alignment wrapText="1"/>
    </xf>
    <xf numFmtId="165" fontId="27" fillId="0" borderId="2" xfId="0" applyNumberFormat="1" applyFont="1" applyBorder="1" applyAlignment="1">
      <alignment wrapText="1"/>
    </xf>
    <xf numFmtId="0" fontId="10" fillId="0" borderId="3" xfId="0" applyFont="1" applyBorder="1"/>
    <xf numFmtId="0" fontId="11" fillId="0" borderId="3" xfId="0" applyFont="1" applyBorder="1"/>
    <xf numFmtId="0" fontId="26" fillId="0" borderId="3" xfId="0" applyFont="1" applyBorder="1"/>
    <xf numFmtId="167" fontId="24" fillId="0" borderId="0" xfId="0" applyNumberFormat="1" applyFont="1"/>
    <xf numFmtId="167" fontId="10" fillId="0" borderId="0" xfId="0" applyNumberFormat="1" applyFont="1"/>
    <xf numFmtId="9" fontId="26" fillId="0" borderId="0" xfId="1" applyFont="1" applyAlignment="1">
      <alignment horizontal="right"/>
    </xf>
    <xf numFmtId="9" fontId="26" fillId="0" borderId="1" xfId="1" applyFont="1" applyBorder="1" applyAlignment="1">
      <alignment horizontal="right"/>
    </xf>
    <xf numFmtId="9" fontId="26" fillId="0" borderId="2" xfId="1" applyFont="1" applyBorder="1" applyAlignment="1">
      <alignment horizontal="right"/>
    </xf>
    <xf numFmtId="0" fontId="26" fillId="0" borderId="0" xfId="0" applyFont="1"/>
    <xf numFmtId="9" fontId="26" fillId="0" borderId="0" xfId="0" applyNumberFormat="1" applyFont="1"/>
    <xf numFmtId="9" fontId="26" fillId="0" borderId="0" xfId="0" applyNumberFormat="1" applyFont="1" applyAlignment="1">
      <alignment horizontal="right" wrapText="1"/>
    </xf>
    <xf numFmtId="176" fontId="26" fillId="0" borderId="0" xfId="0" applyNumberFormat="1" applyFont="1"/>
    <xf numFmtId="38" fontId="26" fillId="0" borderId="0" xfId="0" applyNumberFormat="1" applyFont="1" applyAlignment="1">
      <alignment horizontal="right" wrapText="1"/>
    </xf>
    <xf numFmtId="0" fontId="26" fillId="0" borderId="4" xfId="0" applyFont="1" applyBorder="1"/>
    <xf numFmtId="9" fontId="26" fillId="0" borderId="5" xfId="1" applyFont="1" applyBorder="1" applyAlignment="1">
      <alignment horizontal="right"/>
    </xf>
    <xf numFmtId="9" fontId="26" fillId="0" borderId="6" xfId="1" applyFont="1" applyBorder="1" applyAlignment="1">
      <alignment horizontal="right"/>
    </xf>
    <xf numFmtId="9" fontId="26" fillId="0" borderId="7" xfId="1" applyFont="1" applyBorder="1" applyAlignment="1">
      <alignment horizontal="right"/>
    </xf>
    <xf numFmtId="173" fontId="17" fillId="0" borderId="0" xfId="6" applyNumberFormat="1" applyFont="1" applyBorder="1" applyAlignment="1">
      <alignment horizontal="center"/>
    </xf>
    <xf numFmtId="169" fontId="26" fillId="0" borderId="0" xfId="1" applyNumberFormat="1" applyFont="1" applyBorder="1" applyAlignment="1">
      <alignment wrapText="1"/>
    </xf>
    <xf numFmtId="169" fontId="26" fillId="0" borderId="0" xfId="1" applyNumberFormat="1" applyFont="1" applyBorder="1"/>
    <xf numFmtId="9" fontId="26" fillId="0" borderId="0" xfId="1" applyFont="1" applyBorder="1" applyAlignment="1">
      <alignment horizontal="right"/>
    </xf>
    <xf numFmtId="0" fontId="29" fillId="0" borderId="0" xfId="5" applyFont="1" applyAlignment="1">
      <alignment horizontal="left"/>
    </xf>
    <xf numFmtId="0" fontId="29" fillId="0" borderId="0" xfId="5" applyFont="1" applyAlignment="1">
      <alignment horizontal="center"/>
    </xf>
    <xf numFmtId="0" fontId="29" fillId="0" borderId="0" xfId="5" applyFont="1"/>
    <xf numFmtId="0" fontId="29" fillId="0" borderId="0" xfId="5" quotePrefix="1" applyFont="1" applyAlignment="1">
      <alignment horizontal="left"/>
    </xf>
    <xf numFmtId="0" fontId="11" fillId="2" borderId="3" xfId="0" applyFont="1" applyFill="1" applyBorder="1"/>
    <xf numFmtId="0" fontId="11" fillId="2" borderId="4" xfId="0" applyFont="1" applyFill="1" applyBorder="1"/>
    <xf numFmtId="165" fontId="10" fillId="0" borderId="14" xfId="0" applyNumberFormat="1" applyFont="1" applyBorder="1" applyAlignment="1">
      <alignment horizontal="centerContinuous"/>
    </xf>
    <xf numFmtId="38" fontId="10" fillId="0" borderId="0" xfId="1" applyNumberFormat="1" applyFont="1" applyAlignment="1">
      <alignment horizontal="right"/>
    </xf>
    <xf numFmtId="167" fontId="10" fillId="0" borderId="2" xfId="0" applyNumberFormat="1" applyFont="1" applyBorder="1" applyAlignment="1">
      <alignment wrapText="1"/>
    </xf>
    <xf numFmtId="0" fontId="25" fillId="3" borderId="19" xfId="0" applyFont="1" applyFill="1" applyBorder="1" applyAlignment="1">
      <alignment horizontal="center"/>
    </xf>
    <xf numFmtId="179" fontId="6" fillId="0" borderId="0" xfId="5" applyNumberFormat="1"/>
    <xf numFmtId="178" fontId="6" fillId="0" borderId="0" xfId="5" applyNumberFormat="1"/>
    <xf numFmtId="179" fontId="6" fillId="0" borderId="0" xfId="5" applyNumberFormat="1" applyAlignment="1">
      <alignment horizontal="center"/>
    </xf>
    <xf numFmtId="165" fontId="10" fillId="0" borderId="10" xfId="0" applyNumberFormat="1" applyFont="1" applyBorder="1" applyAlignment="1">
      <alignment horizontal="centerContinuous"/>
    </xf>
    <xf numFmtId="179" fontId="0" fillId="0" borderId="0" xfId="0" applyNumberFormat="1"/>
    <xf numFmtId="179" fontId="10" fillId="0" borderId="0" xfId="0" applyNumberFormat="1" applyFont="1"/>
    <xf numFmtId="179" fontId="9" fillId="0" borderId="0" xfId="0" applyNumberFormat="1" applyFont="1"/>
    <xf numFmtId="169" fontId="0" fillId="0" borderId="0" xfId="1" applyNumberFormat="1" applyFont="1"/>
    <xf numFmtId="169" fontId="10" fillId="0" borderId="0" xfId="1" applyNumberFormat="1" applyFont="1"/>
    <xf numFmtId="179" fontId="10" fillId="0" borderId="0" xfId="0" applyNumberFormat="1" applyFont="1" applyAlignment="1">
      <alignment horizontal="center"/>
    </xf>
    <xf numFmtId="175" fontId="10" fillId="0" borderId="0" xfId="0" applyNumberFormat="1" applyFont="1"/>
    <xf numFmtId="165" fontId="10" fillId="0" borderId="15" xfId="0" applyNumberFormat="1" applyFont="1" applyBorder="1" applyAlignment="1">
      <alignment horizontal="centerContinuous"/>
    </xf>
    <xf numFmtId="165" fontId="10" fillId="0" borderId="0" xfId="0" applyNumberFormat="1" applyFont="1"/>
    <xf numFmtId="176" fontId="10" fillId="0" borderId="0" xfId="0" applyNumberFormat="1" applyFont="1"/>
    <xf numFmtId="0" fontId="10" fillId="0" borderId="8" xfId="0" applyFont="1" applyBorder="1"/>
    <xf numFmtId="0" fontId="10" fillId="0" borderId="9" xfId="0" applyFont="1" applyBorder="1"/>
    <xf numFmtId="0" fontId="10" fillId="0" borderId="16" xfId="0" applyFont="1" applyBorder="1"/>
    <xf numFmtId="167" fontId="11" fillId="2" borderId="3" xfId="0" applyNumberFormat="1" applyFont="1" applyFill="1" applyBorder="1"/>
    <xf numFmtId="167" fontId="10" fillId="0" borderId="0" xfId="0" applyNumberFormat="1" applyFont="1" applyAlignment="1">
      <alignment wrapText="1"/>
    </xf>
    <xf numFmtId="167" fontId="10" fillId="2" borderId="1" xfId="0" applyNumberFormat="1" applyFont="1" applyFill="1" applyBorder="1" applyAlignment="1">
      <alignment wrapText="1"/>
    </xf>
    <xf numFmtId="167" fontId="10" fillId="2" borderId="0" xfId="0" applyNumberFormat="1" applyFont="1" applyFill="1" applyAlignment="1">
      <alignment wrapText="1"/>
    </xf>
    <xf numFmtId="167" fontId="10" fillId="2" borderId="2" xfId="0" applyNumberFormat="1" applyFont="1" applyFill="1" applyBorder="1" applyAlignment="1">
      <alignment wrapText="1"/>
    </xf>
    <xf numFmtId="165" fontId="10" fillId="0" borderId="0" xfId="0" applyNumberFormat="1" applyFont="1" applyAlignment="1">
      <alignment wrapText="1"/>
    </xf>
    <xf numFmtId="165" fontId="10" fillId="0" borderId="1" xfId="0" applyNumberFormat="1" applyFont="1" applyBorder="1" applyAlignment="1">
      <alignment wrapText="1"/>
    </xf>
    <xf numFmtId="0" fontId="10" fillId="0" borderId="2" xfId="0" applyFont="1" applyBorder="1"/>
    <xf numFmtId="165" fontId="10" fillId="0" borderId="2" xfId="0" applyNumberFormat="1" applyFont="1" applyBorder="1" applyAlignment="1">
      <alignment wrapText="1"/>
    </xf>
    <xf numFmtId="167" fontId="11" fillId="0" borderId="3" xfId="0" applyNumberFormat="1" applyFont="1" applyBorder="1"/>
    <xf numFmtId="167" fontId="10" fillId="0" borderId="1" xfId="0" applyNumberFormat="1" applyFont="1" applyBorder="1" applyAlignment="1">
      <alignment wrapText="1"/>
    </xf>
    <xf numFmtId="168" fontId="10" fillId="2" borderId="5" xfId="0" applyNumberFormat="1" applyFont="1" applyFill="1" applyBorder="1" applyAlignment="1">
      <alignment wrapText="1"/>
    </xf>
    <xf numFmtId="168" fontId="10" fillId="2" borderId="6" xfId="0" applyNumberFormat="1" applyFont="1" applyFill="1" applyBorder="1" applyAlignment="1">
      <alignment wrapText="1"/>
    </xf>
    <xf numFmtId="168" fontId="10" fillId="2" borderId="7" xfId="0" applyNumberFormat="1" applyFont="1" applyFill="1" applyBorder="1" applyAlignment="1">
      <alignment wrapText="1"/>
    </xf>
    <xf numFmtId="177" fontId="10" fillId="0" borderId="0" xfId="0" applyNumberFormat="1" applyFont="1"/>
    <xf numFmtId="167" fontId="10" fillId="0" borderId="0" xfId="1" applyNumberFormat="1" applyFont="1"/>
    <xf numFmtId="166" fontId="10" fillId="0" borderId="0" xfId="0" applyNumberFormat="1" applyFont="1" applyAlignment="1">
      <alignment horizontal="right"/>
    </xf>
    <xf numFmtId="166" fontId="10" fillId="0" borderId="8" xfId="0" applyNumberFormat="1" applyFont="1" applyBorder="1" applyAlignment="1">
      <alignment horizontal="right"/>
    </xf>
    <xf numFmtId="166" fontId="10" fillId="0" borderId="9" xfId="0" applyNumberFormat="1" applyFont="1" applyBorder="1" applyAlignment="1">
      <alignment horizontal="right"/>
    </xf>
    <xf numFmtId="166" fontId="10" fillId="0" borderId="16" xfId="0" applyNumberFormat="1" applyFont="1" applyBorder="1" applyAlignment="1">
      <alignment horizontal="right"/>
    </xf>
    <xf numFmtId="0" fontId="10" fillId="0" borderId="1" xfId="0" applyFont="1" applyBorder="1"/>
    <xf numFmtId="166" fontId="10" fillId="0" borderId="1" xfId="0" applyNumberFormat="1" applyFont="1" applyBorder="1" applyAlignment="1">
      <alignment horizontal="right"/>
    </xf>
    <xf numFmtId="166" fontId="10" fillId="0" borderId="2" xfId="0" applyNumberFormat="1" applyFont="1" applyBorder="1" applyAlignment="1">
      <alignment horizontal="right"/>
    </xf>
    <xf numFmtId="38" fontId="10" fillId="0" borderId="0" xfId="0" applyNumberFormat="1" applyFont="1" applyAlignment="1">
      <alignment horizontal="right" wrapText="1"/>
    </xf>
    <xf numFmtId="38" fontId="10" fillId="0" borderId="1" xfId="0" applyNumberFormat="1" applyFont="1" applyBorder="1" applyAlignment="1">
      <alignment horizontal="right" wrapText="1"/>
    </xf>
    <xf numFmtId="38" fontId="10" fillId="0" borderId="2" xfId="0" applyNumberFormat="1" applyFont="1" applyBorder="1" applyAlignment="1">
      <alignment horizontal="right" wrapText="1"/>
    </xf>
    <xf numFmtId="169" fontId="10" fillId="0" borderId="0" xfId="1" applyNumberFormat="1" applyFont="1" applyAlignment="1">
      <alignment horizontal="right" wrapText="1"/>
    </xf>
    <xf numFmtId="38" fontId="10" fillId="2" borderId="1" xfId="0" applyNumberFormat="1" applyFont="1" applyFill="1" applyBorder="1" applyAlignment="1">
      <alignment wrapText="1"/>
    </xf>
    <xf numFmtId="38" fontId="10" fillId="2" borderId="0" xfId="0" applyNumberFormat="1" applyFont="1" applyFill="1" applyAlignment="1">
      <alignment wrapText="1"/>
    </xf>
    <xf numFmtId="38" fontId="10" fillId="2" borderId="2" xfId="0" applyNumberFormat="1" applyFont="1" applyFill="1" applyBorder="1" applyAlignment="1">
      <alignment wrapText="1"/>
    </xf>
    <xf numFmtId="9" fontId="10" fillId="0" borderId="0" xfId="1" applyFont="1" applyAlignment="1">
      <alignment horizontal="right"/>
    </xf>
    <xf numFmtId="38" fontId="10" fillId="0" borderId="1" xfId="1" applyNumberFormat="1" applyFont="1" applyBorder="1" applyAlignment="1">
      <alignment horizontal="right"/>
    </xf>
    <xf numFmtId="38" fontId="10" fillId="0" borderId="2" xfId="1" applyNumberFormat="1" applyFont="1" applyBorder="1" applyAlignment="1">
      <alignment horizontal="right"/>
    </xf>
    <xf numFmtId="38" fontId="10" fillId="0" borderId="0" xfId="1" applyNumberFormat="1" applyFont="1" applyBorder="1" applyAlignment="1">
      <alignment horizontal="right"/>
    </xf>
    <xf numFmtId="38" fontId="10" fillId="0" borderId="0" xfId="0" applyNumberFormat="1" applyFont="1" applyAlignment="1">
      <alignment horizontal="right"/>
    </xf>
    <xf numFmtId="38" fontId="10" fillId="0" borderId="1" xfId="0" applyNumberFormat="1" applyFont="1" applyBorder="1" applyAlignment="1">
      <alignment horizontal="right"/>
    </xf>
    <xf numFmtId="38" fontId="10" fillId="0" borderId="2" xfId="0" applyNumberFormat="1" applyFont="1" applyBorder="1" applyAlignment="1">
      <alignment horizontal="right"/>
    </xf>
    <xf numFmtId="38" fontId="10" fillId="0" borderId="0" xfId="0" applyNumberFormat="1" applyFont="1"/>
    <xf numFmtId="38" fontId="10" fillId="0" borderId="1" xfId="0" applyNumberFormat="1" applyFont="1" applyBorder="1" applyAlignment="1">
      <alignment wrapText="1"/>
    </xf>
    <xf numFmtId="38" fontId="10" fillId="0" borderId="0" xfId="0" applyNumberFormat="1" applyFont="1" applyAlignment="1">
      <alignment wrapText="1"/>
    </xf>
    <xf numFmtId="170" fontId="10" fillId="0" borderId="0" xfId="0" applyNumberFormat="1" applyFont="1"/>
    <xf numFmtId="38" fontId="10" fillId="0" borderId="2" xfId="0" applyNumberFormat="1" applyFont="1" applyBorder="1" applyAlignment="1">
      <alignment wrapText="1"/>
    </xf>
    <xf numFmtId="1" fontId="10" fillId="0" borderId="1" xfId="1" applyNumberFormat="1" applyFont="1" applyBorder="1" applyAlignment="1">
      <alignment horizontal="right"/>
    </xf>
    <xf numFmtId="1" fontId="10" fillId="0" borderId="0" xfId="1" applyNumberFormat="1" applyFont="1" applyAlignment="1">
      <alignment horizontal="right"/>
    </xf>
    <xf numFmtId="1" fontId="10" fillId="0" borderId="2" xfId="1" applyNumberFormat="1" applyFont="1" applyBorder="1" applyAlignment="1">
      <alignment horizontal="right"/>
    </xf>
    <xf numFmtId="1" fontId="10" fillId="0" borderId="2" xfId="1" applyNumberFormat="1" applyFont="1" applyFill="1" applyBorder="1" applyAlignment="1">
      <alignment horizontal="right"/>
    </xf>
    <xf numFmtId="9" fontId="10" fillId="0" borderId="1" xfId="1" applyFont="1" applyBorder="1" applyAlignment="1">
      <alignment horizontal="right"/>
    </xf>
    <xf numFmtId="9" fontId="10" fillId="0" borderId="2" xfId="1" applyFont="1" applyBorder="1" applyAlignment="1">
      <alignment horizontal="right"/>
    </xf>
    <xf numFmtId="9" fontId="10" fillId="0" borderId="0" xfId="1" applyFont="1" applyBorder="1" applyAlignment="1">
      <alignment horizontal="right"/>
    </xf>
    <xf numFmtId="0" fontId="11" fillId="0" borderId="10" xfId="0" applyFont="1" applyBorder="1" applyAlignment="1">
      <alignment horizontal="center"/>
    </xf>
    <xf numFmtId="165" fontId="10" fillId="0" borderId="10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Continuous"/>
    </xf>
    <xf numFmtId="165" fontId="10" fillId="0" borderId="15" xfId="0" applyNumberFormat="1" applyFont="1" applyBorder="1" applyAlignment="1">
      <alignment horizontal="center"/>
    </xf>
    <xf numFmtId="40" fontId="10" fillId="0" borderId="0" xfId="0" applyNumberFormat="1" applyFont="1"/>
    <xf numFmtId="40" fontId="10" fillId="0" borderId="25" xfId="0" applyNumberFormat="1" applyFont="1" applyBorder="1"/>
    <xf numFmtId="40" fontId="10" fillId="0" borderId="17" xfId="0" applyNumberFormat="1" applyFont="1" applyBorder="1"/>
    <xf numFmtId="40" fontId="10" fillId="0" borderId="13" xfId="0" applyNumberFormat="1" applyFont="1" applyBorder="1"/>
    <xf numFmtId="40" fontId="10" fillId="0" borderId="11" xfId="0" applyNumberFormat="1" applyFont="1" applyBorder="1"/>
    <xf numFmtId="40" fontId="10" fillId="0" borderId="23" xfId="0" applyNumberFormat="1" applyFont="1" applyBorder="1"/>
    <xf numFmtId="179" fontId="10" fillId="0" borderId="0" xfId="1" applyNumberFormat="1" applyFont="1" applyAlignment="1">
      <alignment horizontal="right"/>
    </xf>
    <xf numFmtId="173" fontId="1" fillId="0" borderId="0" xfId="6" applyNumberFormat="1" applyFont="1"/>
    <xf numFmtId="0" fontId="9" fillId="0" borderId="0" xfId="0" applyFont="1"/>
    <xf numFmtId="169" fontId="0" fillId="0" borderId="0" xfId="0" applyNumberFormat="1"/>
    <xf numFmtId="179" fontId="28" fillId="0" borderId="0" xfId="0" applyNumberFormat="1" applyFont="1"/>
    <xf numFmtId="175" fontId="28" fillId="0" borderId="0" xfId="0" applyNumberFormat="1" applyFont="1"/>
    <xf numFmtId="9" fontId="10" fillId="0" borderId="0" xfId="1" applyFont="1"/>
    <xf numFmtId="165" fontId="10" fillId="0" borderId="18" xfId="0" applyNumberFormat="1" applyFont="1" applyBorder="1" applyAlignment="1">
      <alignment horizontal="centerContinuous"/>
    </xf>
    <xf numFmtId="179" fontId="9" fillId="0" borderId="0" xfId="0" quotePrefix="1" applyNumberFormat="1" applyFont="1"/>
    <xf numFmtId="40" fontId="0" fillId="0" borderId="0" xfId="0" applyNumberFormat="1"/>
    <xf numFmtId="179" fontId="32" fillId="4" borderId="0" xfId="0" applyNumberFormat="1" applyFont="1" applyFill="1"/>
    <xf numFmtId="169" fontId="10" fillId="0" borderId="0" xfId="1" applyNumberFormat="1" applyFont="1" applyFill="1"/>
    <xf numFmtId="167" fontId="33" fillId="0" borderId="0" xfId="0" applyNumberFormat="1" applyFont="1"/>
    <xf numFmtId="169" fontId="26" fillId="0" borderId="0" xfId="1" applyNumberFormat="1" applyFont="1" applyBorder="1" applyAlignment="1">
      <alignment horizontal="right"/>
    </xf>
    <xf numFmtId="169" fontId="26" fillId="0" borderId="0" xfId="0" applyNumberFormat="1" applyFont="1"/>
    <xf numFmtId="0" fontId="17" fillId="0" borderId="0" xfId="5" applyFont="1" applyAlignment="1">
      <alignment horizontal="center"/>
    </xf>
    <xf numFmtId="40" fontId="10" fillId="0" borderId="12" xfId="0" applyNumberFormat="1" applyFont="1" applyBorder="1"/>
    <xf numFmtId="10" fontId="26" fillId="0" borderId="0" xfId="0" applyNumberFormat="1" applyFont="1"/>
    <xf numFmtId="180" fontId="10" fillId="0" borderId="0" xfId="0" applyNumberFormat="1" applyFont="1"/>
    <xf numFmtId="0" fontId="11" fillId="0" borderId="26" xfId="0" applyFont="1" applyBorder="1"/>
    <xf numFmtId="0" fontId="34" fillId="10" borderId="19" xfId="0" applyFont="1" applyFill="1" applyBorder="1" applyAlignment="1">
      <alignment horizontal="center"/>
    </xf>
    <xf numFmtId="0" fontId="10" fillId="0" borderId="4" xfId="0" applyFont="1" applyBorder="1"/>
    <xf numFmtId="0" fontId="25" fillId="3" borderId="8" xfId="0" applyFont="1" applyFill="1" applyBorder="1" applyAlignment="1">
      <alignment horizontal="center"/>
    </xf>
    <xf numFmtId="0" fontId="25" fillId="3" borderId="16" xfId="0" applyFont="1" applyFill="1" applyBorder="1" applyAlignment="1">
      <alignment horizontal="center"/>
    </xf>
    <xf numFmtId="0" fontId="25" fillId="3" borderId="9" xfId="0" applyFont="1" applyFill="1" applyBorder="1" applyAlignment="1">
      <alignment horizontal="center"/>
    </xf>
    <xf numFmtId="0" fontId="10" fillId="0" borderId="5" xfId="0" applyFont="1" applyBorder="1"/>
    <xf numFmtId="0" fontId="10" fillId="0" borderId="6" xfId="0" applyFont="1" applyBorder="1"/>
    <xf numFmtId="9" fontId="35" fillId="0" borderId="0" xfId="1" applyFont="1"/>
    <xf numFmtId="173" fontId="1" fillId="2" borderId="10" xfId="6" applyNumberFormat="1" applyFont="1" applyFill="1" applyBorder="1"/>
    <xf numFmtId="173" fontId="1" fillId="0" borderId="10" xfId="6" applyNumberFormat="1" applyFont="1" applyBorder="1"/>
    <xf numFmtId="175" fontId="1" fillId="0" borderId="0" xfId="5" applyNumberFormat="1" applyFont="1"/>
    <xf numFmtId="172" fontId="1" fillId="0" borderId="0" xfId="6" applyNumberFormat="1" applyFont="1"/>
    <xf numFmtId="173" fontId="1" fillId="2" borderId="10" xfId="6" applyNumberFormat="1" applyFont="1" applyFill="1" applyBorder="1" applyAlignment="1">
      <alignment horizontal="center"/>
    </xf>
    <xf numFmtId="0" fontId="1" fillId="0" borderId="0" xfId="5" applyFont="1"/>
    <xf numFmtId="9" fontId="1" fillId="0" borderId="0" xfId="1" applyFont="1"/>
    <xf numFmtId="179" fontId="1" fillId="0" borderId="0" xfId="5" applyNumberFormat="1" applyFont="1"/>
    <xf numFmtId="0" fontId="1" fillId="0" borderId="0" xfId="5" applyFont="1" applyAlignment="1">
      <alignment horizontal="center"/>
    </xf>
    <xf numFmtId="9" fontId="1" fillId="0" borderId="0" xfId="1" applyFont="1" applyAlignment="1">
      <alignment horizontal="center"/>
    </xf>
    <xf numFmtId="0" fontId="1" fillId="0" borderId="0" xfId="5" applyFont="1" applyAlignment="1">
      <alignment horizontal="left"/>
    </xf>
    <xf numFmtId="173" fontId="1" fillId="0" borderId="0" xfId="6" applyNumberFormat="1" applyFont="1" applyBorder="1"/>
    <xf numFmtId="173" fontId="1" fillId="2" borderId="0" xfId="6" applyNumberFormat="1" applyFont="1" applyFill="1" applyBorder="1" applyAlignment="1">
      <alignment horizontal="center"/>
    </xf>
    <xf numFmtId="38" fontId="10" fillId="0" borderId="6" xfId="0" applyNumberFormat="1" applyFont="1" applyBorder="1"/>
    <xf numFmtId="169" fontId="1" fillId="0" borderId="0" xfId="1" applyNumberFormat="1" applyFont="1"/>
    <xf numFmtId="0" fontId="0" fillId="0" borderId="0" xfId="0" applyAlignment="1">
      <alignment horizontal="center"/>
    </xf>
    <xf numFmtId="38" fontId="0" fillId="0" borderId="0" xfId="0" applyNumberFormat="1"/>
    <xf numFmtId="0" fontId="28" fillId="0" borderId="0" xfId="0" applyFont="1"/>
    <xf numFmtId="1" fontId="0" fillId="0" borderId="0" xfId="0" applyNumberFormat="1"/>
    <xf numFmtId="9" fontId="9" fillId="0" borderId="0" xfId="0" applyNumberFormat="1" applyFont="1"/>
    <xf numFmtId="9" fontId="0" fillId="0" borderId="0" xfId="1" applyFont="1"/>
    <xf numFmtId="38" fontId="10" fillId="0" borderId="7" xfId="0" applyNumberFormat="1" applyFont="1" applyBorder="1"/>
    <xf numFmtId="38" fontId="10" fillId="0" borderId="7" xfId="0" applyNumberFormat="1" applyFont="1" applyBorder="1" applyAlignment="1">
      <alignment horizontal="right"/>
    </xf>
    <xf numFmtId="179" fontId="13" fillId="0" borderId="0" xfId="0" applyNumberFormat="1" applyFont="1"/>
    <xf numFmtId="179" fontId="37" fillId="11" borderId="0" xfId="0" applyNumberFormat="1" applyFont="1" applyFill="1" applyAlignment="1">
      <alignment horizontal="centerContinuous"/>
    </xf>
    <xf numFmtId="9" fontId="13" fillId="0" borderId="0" xfId="1" applyFont="1"/>
    <xf numFmtId="179" fontId="38" fillId="0" borderId="0" xfId="0" applyNumberFormat="1" applyFont="1" applyAlignment="1">
      <alignment horizontal="center"/>
    </xf>
    <xf numFmtId="179" fontId="13" fillId="12" borderId="0" xfId="0" applyNumberFormat="1" applyFont="1" applyFill="1"/>
    <xf numFmtId="179" fontId="13" fillId="12" borderId="0" xfId="0" applyNumberFormat="1" applyFont="1" applyFill="1" applyAlignment="1">
      <alignment horizontal="center"/>
    </xf>
    <xf numFmtId="179" fontId="14" fillId="0" borderId="0" xfId="0" applyNumberFormat="1" applyFont="1"/>
    <xf numFmtId="179" fontId="15" fillId="0" borderId="0" xfId="0" applyNumberFormat="1" applyFont="1"/>
    <xf numFmtId="9" fontId="15" fillId="0" borderId="0" xfId="1" applyFont="1"/>
    <xf numFmtId="169" fontId="26" fillId="0" borderId="1" xfId="1" applyNumberFormat="1" applyFont="1" applyBorder="1" applyAlignment="1">
      <alignment horizontal="right"/>
    </xf>
    <xf numFmtId="169" fontId="26" fillId="0" borderId="2" xfId="1" applyNumberFormat="1" applyFont="1" applyBorder="1" applyAlignment="1">
      <alignment horizontal="right"/>
    </xf>
    <xf numFmtId="0" fontId="0" fillId="9" borderId="0" xfId="0" applyFill="1"/>
    <xf numFmtId="0" fontId="0" fillId="13" borderId="0" xfId="0" applyFill="1" applyAlignment="1">
      <alignment horizontal="center"/>
    </xf>
    <xf numFmtId="0" fontId="0" fillId="13" borderId="0" xfId="0" applyFill="1"/>
    <xf numFmtId="9" fontId="0" fillId="13" borderId="0" xfId="1" applyFont="1" applyFill="1"/>
    <xf numFmtId="38" fontId="0" fillId="13" borderId="0" xfId="0" applyNumberFormat="1" applyFill="1"/>
    <xf numFmtId="169" fontId="0" fillId="13" borderId="0" xfId="1" applyNumberFormat="1" applyFont="1" applyFill="1"/>
    <xf numFmtId="1" fontId="0" fillId="13" borderId="0" xfId="0" applyNumberFormat="1" applyFill="1"/>
    <xf numFmtId="0" fontId="0" fillId="5" borderId="0" xfId="0" applyFill="1"/>
    <xf numFmtId="0" fontId="26" fillId="13" borderId="0" xfId="0" applyFont="1" applyFill="1"/>
    <xf numFmtId="0" fontId="10" fillId="13" borderId="0" xfId="0" applyFont="1" applyFill="1"/>
    <xf numFmtId="9" fontId="10" fillId="13" borderId="0" xfId="1" applyFont="1" applyFill="1"/>
    <xf numFmtId="9" fontId="35" fillId="13" borderId="0" xfId="1" applyFont="1" applyFill="1"/>
    <xf numFmtId="1" fontId="10" fillId="0" borderId="5" xfId="0" applyNumberFormat="1" applyFont="1" applyBorder="1"/>
    <xf numFmtId="0" fontId="0" fillId="9" borderId="0" xfId="0" applyFill="1" applyAlignment="1">
      <alignment horizontal="center"/>
    </xf>
    <xf numFmtId="38" fontId="0" fillId="9" borderId="0" xfId="0" applyNumberFormat="1" applyFill="1"/>
    <xf numFmtId="9" fontId="0" fillId="9" borderId="0" xfId="1" applyFont="1" applyFill="1"/>
    <xf numFmtId="169" fontId="0" fillId="9" borderId="0" xfId="1" applyNumberFormat="1" applyFont="1" applyFill="1"/>
    <xf numFmtId="1" fontId="0" fillId="9" borderId="0" xfId="0" applyNumberFormat="1" applyFill="1"/>
    <xf numFmtId="0" fontId="10" fillId="0" borderId="1" xfId="0" applyFont="1" applyBorder="1" applyAlignment="1">
      <alignment horizontal="right"/>
    </xf>
    <xf numFmtId="167" fontId="10" fillId="9" borderId="0" xfId="0" applyNumberFormat="1" applyFont="1" applyFill="1"/>
    <xf numFmtId="0" fontId="10" fillId="0" borderId="27" xfId="0" applyFont="1" applyBorder="1" applyAlignment="1">
      <alignment horizontal="right" indent="6"/>
    </xf>
    <xf numFmtId="40" fontId="10" fillId="0" borderId="27" xfId="0" applyNumberFormat="1" applyFont="1" applyBorder="1"/>
    <xf numFmtId="169" fontId="26" fillId="0" borderId="0" xfId="1" applyNumberFormat="1" applyFont="1" applyFill="1" applyBorder="1"/>
    <xf numFmtId="169" fontId="26" fillId="0" borderId="3" xfId="0" applyNumberFormat="1" applyFont="1" applyBorder="1"/>
    <xf numFmtId="169" fontId="26" fillId="0" borderId="0" xfId="1" applyNumberFormat="1" applyFont="1" applyAlignment="1">
      <alignment horizontal="right"/>
    </xf>
    <xf numFmtId="38" fontId="10" fillId="9" borderId="0" xfId="0" applyNumberFormat="1" applyFont="1" applyFill="1" applyAlignment="1">
      <alignment horizontal="right" wrapText="1"/>
    </xf>
    <xf numFmtId="172" fontId="10" fillId="0" borderId="2" xfId="2" applyNumberFormat="1" applyFont="1" applyBorder="1" applyAlignment="1">
      <alignment wrapText="1"/>
    </xf>
    <xf numFmtId="3" fontId="10" fillId="0" borderId="0" xfId="0" applyNumberFormat="1" applyFont="1"/>
    <xf numFmtId="40" fontId="10" fillId="0" borderId="29" xfId="0" applyNumberFormat="1" applyFont="1" applyBorder="1"/>
    <xf numFmtId="40" fontId="10" fillId="0" borderId="28" xfId="0" applyNumberFormat="1" applyFont="1" applyBorder="1"/>
    <xf numFmtId="40" fontId="10" fillId="0" borderId="30" xfId="0" applyNumberFormat="1" applyFont="1" applyBorder="1"/>
    <xf numFmtId="0" fontId="10" fillId="0" borderId="31" xfId="0" applyFont="1" applyBorder="1" applyAlignment="1">
      <alignment horizontal="right" indent="6"/>
    </xf>
    <xf numFmtId="1" fontId="10" fillId="0" borderId="2" xfId="0" applyNumberFormat="1" applyFont="1" applyBorder="1" applyAlignment="1">
      <alignment horizontal="right" wrapText="1"/>
    </xf>
    <xf numFmtId="168" fontId="10" fillId="2" borderId="7" xfId="2" applyNumberFormat="1" applyFont="1" applyFill="1" applyBorder="1" applyAlignment="1">
      <alignment wrapText="1"/>
    </xf>
    <xf numFmtId="171" fontId="10" fillId="2" borderId="1" xfId="0" applyNumberFormat="1" applyFont="1" applyFill="1" applyBorder="1" applyAlignment="1">
      <alignment wrapText="1"/>
    </xf>
    <xf numFmtId="171" fontId="10" fillId="2" borderId="0" xfId="0" applyNumberFormat="1" applyFont="1" applyFill="1" applyAlignment="1">
      <alignment wrapText="1"/>
    </xf>
    <xf numFmtId="171" fontId="10" fillId="2" borderId="2" xfId="0" applyNumberFormat="1" applyFont="1" applyFill="1" applyBorder="1" applyAlignment="1">
      <alignment wrapText="1"/>
    </xf>
    <xf numFmtId="171" fontId="10" fillId="0" borderId="0" xfId="0" applyNumberFormat="1" applyFont="1"/>
    <xf numFmtId="171" fontId="10" fillId="2" borderId="2" xfId="2" applyNumberFormat="1" applyFont="1" applyFill="1" applyBorder="1" applyAlignment="1">
      <alignment wrapText="1"/>
    </xf>
    <xf numFmtId="3" fontId="10" fillId="2" borderId="1" xfId="0" applyNumberFormat="1" applyFont="1" applyFill="1" applyBorder="1" applyAlignment="1">
      <alignment wrapText="1"/>
    </xf>
    <xf numFmtId="3" fontId="10" fillId="2" borderId="0" xfId="0" applyNumberFormat="1" applyFont="1" applyFill="1" applyAlignment="1">
      <alignment wrapText="1"/>
    </xf>
    <xf numFmtId="3" fontId="10" fillId="2" borderId="2" xfId="0" applyNumberFormat="1" applyFont="1" applyFill="1" applyBorder="1" applyAlignment="1">
      <alignment wrapText="1"/>
    </xf>
    <xf numFmtId="3" fontId="10" fillId="2" borderId="2" xfId="2" applyNumberFormat="1" applyFont="1" applyFill="1" applyBorder="1" applyAlignment="1">
      <alignment wrapText="1"/>
    </xf>
    <xf numFmtId="165" fontId="10" fillId="0" borderId="14" xfId="0" applyNumberFormat="1" applyFont="1" applyBorder="1" applyAlignment="1">
      <alignment horizontal="center"/>
    </xf>
    <xf numFmtId="165" fontId="10" fillId="0" borderId="18" xfId="0" applyNumberFormat="1" applyFont="1" applyBorder="1" applyAlignment="1">
      <alignment horizontal="center"/>
    </xf>
    <xf numFmtId="0" fontId="23" fillId="2" borderId="20" xfId="0" applyFont="1" applyFill="1" applyBorder="1" applyAlignment="1">
      <alignment horizontal="center"/>
    </xf>
    <xf numFmtId="0" fontId="23" fillId="2" borderId="21" xfId="0" applyFont="1" applyFill="1" applyBorder="1" applyAlignment="1">
      <alignment horizontal="center"/>
    </xf>
    <xf numFmtId="0" fontId="23" fillId="2" borderId="22" xfId="0" applyFont="1" applyFill="1" applyBorder="1" applyAlignment="1">
      <alignment horizontal="center"/>
    </xf>
  </cellXfs>
  <cellStyles count="23">
    <cellStyle name="Comma" xfId="2" builtinId="3"/>
    <cellStyle name="Comma 2" xfId="6" xr:uid="{00000000-0005-0000-0000-000001000000}"/>
    <cellStyle name="Comma 2 2" xfId="15" xr:uid="{00000000-0005-0000-0000-000002000000}"/>
    <cellStyle name="Comma 3" xfId="11" xr:uid="{00000000-0005-0000-0000-000003000000}"/>
    <cellStyle name="Normal" xfId="0" builtinId="0"/>
    <cellStyle name="Normal 10" xfId="22" xr:uid="{9488CDB7-A2FA-416C-8C30-32794DEF8671}"/>
    <cellStyle name="Normal 2" xfId="3" xr:uid="{00000000-0005-0000-0000-000005000000}"/>
    <cellStyle name="Normal 2 2" xfId="5" xr:uid="{00000000-0005-0000-0000-000006000000}"/>
    <cellStyle name="Normal 2 2 2" xfId="14" xr:uid="{00000000-0005-0000-0000-000007000000}"/>
    <cellStyle name="Normal 2 3" xfId="12" xr:uid="{00000000-0005-0000-0000-000008000000}"/>
    <cellStyle name="Normal 2 4" xfId="21" xr:uid="{00000000-0005-0000-0000-000009000000}"/>
    <cellStyle name="Normal 3" xfId="4" xr:uid="{00000000-0005-0000-0000-00000A000000}"/>
    <cellStyle name="Normal 3 2" xfId="13" xr:uid="{00000000-0005-0000-0000-00000B000000}"/>
    <cellStyle name="Normal 4" xfId="7" xr:uid="{00000000-0005-0000-0000-00000C000000}"/>
    <cellStyle name="Normal 4 2" xfId="16" xr:uid="{00000000-0005-0000-0000-00000D000000}"/>
    <cellStyle name="Normal 5" xfId="8" xr:uid="{00000000-0005-0000-0000-00000E000000}"/>
    <cellStyle name="Normal 5 2" xfId="17" xr:uid="{00000000-0005-0000-0000-00000F000000}"/>
    <cellStyle name="Normal 6" xfId="9" xr:uid="{00000000-0005-0000-0000-000010000000}"/>
    <cellStyle name="Normal 6 2" xfId="18" xr:uid="{00000000-0005-0000-0000-000011000000}"/>
    <cellStyle name="Normal 7" xfId="10" xr:uid="{00000000-0005-0000-0000-000012000000}"/>
    <cellStyle name="Normal 8" xfId="19" xr:uid="{00000000-0005-0000-0000-000013000000}"/>
    <cellStyle name="Normal 9" xfId="20" xr:uid="{00000000-0005-0000-0000-000014000000}"/>
    <cellStyle name="Percent" xfId="1" builtinId="5"/>
  </cellStyles>
  <dxfs count="0"/>
  <tableStyles count="0" defaultTableStyle="TableStyleMedium9" defaultPivotStyle="PivotStyleLight16"/>
  <colors>
    <mruColors>
      <color rgb="FFE8EFED"/>
      <color rgb="FFFFFFCC"/>
      <color rgb="FFFF8CAE"/>
      <color rgb="FF025292"/>
      <color rgb="FF6ECEB2"/>
      <color rgb="FFF26522"/>
      <color rgb="FF83EDD9"/>
      <color rgb="FFEF3325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Revenues and -margin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'Rolling quarters'!$A$3</c:f>
              <c:strCache>
                <c:ptCount val="1"/>
                <c:pt idx="0">
                  <c:v>Revenues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quarters'!$B$3:$Q$3</c:f>
              <c:numCache>
                <c:formatCode>#,##0_);[Red]\(#,##0\)</c:formatCode>
                <c:ptCount val="16"/>
                <c:pt idx="0">
                  <c:v>1042</c:v>
                </c:pt>
                <c:pt idx="1">
                  <c:v>1088</c:v>
                </c:pt>
                <c:pt idx="2">
                  <c:v>1238</c:v>
                </c:pt>
                <c:pt idx="3">
                  <c:v>1265</c:v>
                </c:pt>
                <c:pt idx="4">
                  <c:v>1168</c:v>
                </c:pt>
                <c:pt idx="5">
                  <c:v>1055</c:v>
                </c:pt>
                <c:pt idx="6">
                  <c:v>1287</c:v>
                </c:pt>
                <c:pt idx="7">
                  <c:v>1426</c:v>
                </c:pt>
                <c:pt idx="8">
                  <c:v>1364</c:v>
                </c:pt>
                <c:pt idx="9">
                  <c:v>1379</c:v>
                </c:pt>
                <c:pt idx="10">
                  <c:v>1514</c:v>
                </c:pt>
                <c:pt idx="11">
                  <c:v>1481</c:v>
                </c:pt>
                <c:pt idx="12">
                  <c:v>1393.4397869999998</c:v>
                </c:pt>
                <c:pt idx="13" formatCode="General">
                  <c:v>1375</c:v>
                </c:pt>
                <c:pt idx="14" formatCode="General">
                  <c:v>1550</c:v>
                </c:pt>
                <c:pt idx="15" formatCode="General">
                  <c:v>1650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9-4B86-8571-98B295EE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547919"/>
        <c:axId val="263540847"/>
      </c:barChart>
      <c:lineChart>
        <c:grouping val="standard"/>
        <c:varyColors val="0"/>
        <c:ser>
          <c:idx val="1"/>
          <c:order val="1"/>
          <c:tx>
            <c:strRef>
              <c:f>'Rolling quarters'!$A$5</c:f>
              <c:strCache>
                <c:ptCount val="1"/>
                <c:pt idx="0">
                  <c:v> - gross margin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quarters'!$B$5:$Q$5</c:f>
              <c:numCache>
                <c:formatCode>0%</c:formatCode>
                <c:ptCount val="16"/>
                <c:pt idx="0">
                  <c:v>0.40019193857965452</c:v>
                </c:pt>
                <c:pt idx="1">
                  <c:v>0.4329044117647059</c:v>
                </c:pt>
                <c:pt idx="2">
                  <c:v>0.43134087237479807</c:v>
                </c:pt>
                <c:pt idx="3">
                  <c:v>0.4</c:v>
                </c:pt>
                <c:pt idx="4">
                  <c:v>0.39554794520547948</c:v>
                </c:pt>
                <c:pt idx="5">
                  <c:v>0.38672985781990521</c:v>
                </c:pt>
                <c:pt idx="6">
                  <c:v>0.44599844599844601</c:v>
                </c:pt>
                <c:pt idx="7">
                  <c:v>0.41935483870967744</c:v>
                </c:pt>
                <c:pt idx="8">
                  <c:v>0.42008797653958946</c:v>
                </c:pt>
                <c:pt idx="9">
                  <c:v>0.43727338651196518</c:v>
                </c:pt>
                <c:pt idx="10">
                  <c:v>0.42536327608982827</c:v>
                </c:pt>
                <c:pt idx="11">
                  <c:v>0.39972991222147197</c:v>
                </c:pt>
                <c:pt idx="12">
                  <c:v>0.38632305968453018</c:v>
                </c:pt>
                <c:pt idx="13">
                  <c:v>0.4232727272727273</c:v>
                </c:pt>
                <c:pt idx="14">
                  <c:v>0.42838709677419357</c:v>
                </c:pt>
                <c:pt idx="15">
                  <c:v>0.42363636363636364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9-4B86-8571-98B295EE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551247"/>
        <c:axId val="263545423"/>
      </c:lineChart>
      <c:catAx>
        <c:axId val="263547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540847"/>
        <c:crosses val="autoZero"/>
        <c:auto val="1"/>
        <c:lblAlgn val="ctr"/>
        <c:lblOffset val="100"/>
        <c:noMultiLvlLbl val="0"/>
      </c:catAx>
      <c:valAx>
        <c:axId val="26354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547919"/>
        <c:crosses val="autoZero"/>
        <c:crossBetween val="between"/>
      </c:valAx>
      <c:valAx>
        <c:axId val="263545423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551247"/>
        <c:crosses val="max"/>
        <c:crossBetween val="between"/>
      </c:valAx>
      <c:catAx>
        <c:axId val="2635512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63545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EBITA and op.exp in % of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'Rolling quarters'!$A$7</c:f>
              <c:strCache>
                <c:ptCount val="1"/>
                <c:pt idx="0">
                  <c:v>EBITA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quarters'!$B$7:$Q$7</c:f>
              <c:numCache>
                <c:formatCode>#,##0_);[Red]\(#,##0\)</c:formatCode>
                <c:ptCount val="16"/>
                <c:pt idx="0">
                  <c:v>139</c:v>
                </c:pt>
                <c:pt idx="1">
                  <c:v>183</c:v>
                </c:pt>
                <c:pt idx="2">
                  <c:v>270</c:v>
                </c:pt>
                <c:pt idx="3">
                  <c:v>216</c:v>
                </c:pt>
                <c:pt idx="4">
                  <c:v>151</c:v>
                </c:pt>
                <c:pt idx="5">
                  <c:v>118</c:v>
                </c:pt>
                <c:pt idx="6">
                  <c:v>316</c:v>
                </c:pt>
                <c:pt idx="7">
                  <c:v>296</c:v>
                </c:pt>
                <c:pt idx="8">
                  <c:v>256</c:v>
                </c:pt>
                <c:pt idx="9">
                  <c:v>278</c:v>
                </c:pt>
                <c:pt idx="10">
                  <c:v>337</c:v>
                </c:pt>
                <c:pt idx="11">
                  <c:v>246</c:v>
                </c:pt>
                <c:pt idx="12">
                  <c:v>207.31392699999998</c:v>
                </c:pt>
                <c:pt idx="13">
                  <c:v>572</c:v>
                </c:pt>
                <c:pt idx="14">
                  <c:v>654</c:v>
                </c:pt>
                <c:pt idx="15">
                  <c:v>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D-41F8-8C38-8620DA825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7419087"/>
        <c:axId val="2107414095"/>
      </c:barChart>
      <c:lineChart>
        <c:grouping val="standard"/>
        <c:varyColors val="0"/>
        <c:ser>
          <c:idx val="1"/>
          <c:order val="1"/>
          <c:tx>
            <c:strRef>
              <c:f>'Rolling quarters'!$A$9</c:f>
              <c:strCache>
                <c:ptCount val="1"/>
                <c:pt idx="0">
                  <c:v>Op.exp in % of 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quarters'!$B$9:$Q$9</c:f>
              <c:numCache>
                <c:formatCode>0%</c:formatCode>
                <c:ptCount val="16"/>
                <c:pt idx="0">
                  <c:v>0.2667946257197697</c:v>
                </c:pt>
                <c:pt idx="1">
                  <c:v>0.26470588235294118</c:v>
                </c:pt>
                <c:pt idx="2">
                  <c:v>0.21324717285945072</c:v>
                </c:pt>
                <c:pt idx="3">
                  <c:v>0.22924901185770752</c:v>
                </c:pt>
                <c:pt idx="4">
                  <c:v>0.26626712328767121</c:v>
                </c:pt>
                <c:pt idx="5">
                  <c:v>0.27488151658767773</c:v>
                </c:pt>
                <c:pt idx="6">
                  <c:v>0.20046620046620048</c:v>
                </c:pt>
                <c:pt idx="7">
                  <c:v>0.21178120617110799</c:v>
                </c:pt>
                <c:pt idx="8">
                  <c:v>0.23240469208211142</c:v>
                </c:pt>
                <c:pt idx="9">
                  <c:v>0.23567802755620015</c:v>
                </c:pt>
                <c:pt idx="10">
                  <c:v>0.20277410832232498</c:v>
                </c:pt>
                <c:pt idx="11">
                  <c:v>0.23362592842673868</c:v>
                </c:pt>
                <c:pt idx="12">
                  <c:v>0.2375445269240041</c:v>
                </c:pt>
                <c:pt idx="13">
                  <c:v>7.2727272727272727E-3</c:v>
                </c:pt>
                <c:pt idx="14">
                  <c:v>6.4516129032258064E-3</c:v>
                </c:pt>
                <c:pt idx="15">
                  <c:v>6.0606060606060606E-3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D-41F8-8C38-8620DA825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414927"/>
        <c:axId val="2107414511"/>
      </c:lineChart>
      <c:catAx>
        <c:axId val="210741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7414095"/>
        <c:crosses val="autoZero"/>
        <c:auto val="1"/>
        <c:lblAlgn val="ctr"/>
        <c:lblOffset val="100"/>
        <c:noMultiLvlLbl val="0"/>
      </c:catAx>
      <c:valAx>
        <c:axId val="210741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7419087"/>
        <c:crosses val="autoZero"/>
        <c:crossBetween val="between"/>
      </c:valAx>
      <c:valAx>
        <c:axId val="2107414511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7414927"/>
        <c:crosses val="max"/>
        <c:crossBetween val="between"/>
      </c:valAx>
      <c:catAx>
        <c:axId val="2107414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74145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Revenues and -margin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'Rolling quarters'!$A$33</c:f>
              <c:strCache>
                <c:ptCount val="1"/>
                <c:pt idx="0">
                  <c:v>Revenues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quarters'!$B$33:$Q$33</c:f>
              <c:numCache>
                <c:formatCode>#,##0_);[Red]\(#,##0\)</c:formatCode>
                <c:ptCount val="16"/>
                <c:pt idx="0">
                  <c:v>2081</c:v>
                </c:pt>
                <c:pt idx="1">
                  <c:v>2318</c:v>
                </c:pt>
                <c:pt idx="2">
                  <c:v>2378</c:v>
                </c:pt>
                <c:pt idx="3">
                  <c:v>2569</c:v>
                </c:pt>
                <c:pt idx="4">
                  <c:v>2302</c:v>
                </c:pt>
                <c:pt idx="5">
                  <c:v>2319</c:v>
                </c:pt>
                <c:pt idx="6">
                  <c:v>2578</c:v>
                </c:pt>
                <c:pt idx="7">
                  <c:v>2742</c:v>
                </c:pt>
                <c:pt idx="8">
                  <c:v>2291</c:v>
                </c:pt>
                <c:pt idx="9">
                  <c:v>2685</c:v>
                </c:pt>
                <c:pt idx="10">
                  <c:v>2883</c:v>
                </c:pt>
                <c:pt idx="11">
                  <c:v>3050</c:v>
                </c:pt>
                <c:pt idx="12">
                  <c:v>2500.5261539999997</c:v>
                </c:pt>
                <c:pt idx="13">
                  <c:v>2856.6650455927052</c:v>
                </c:pt>
                <c:pt idx="14">
                  <c:v>3018.8051671732524</c:v>
                </c:pt>
                <c:pt idx="15">
                  <c:v>3185.2148936170215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9-4B86-8571-98B295EE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547919"/>
        <c:axId val="263540847"/>
      </c:barChart>
      <c:lineChart>
        <c:grouping val="standard"/>
        <c:varyColors val="0"/>
        <c:ser>
          <c:idx val="1"/>
          <c:order val="1"/>
          <c:tx>
            <c:strRef>
              <c:f>'Rolling quarters'!$A$35</c:f>
              <c:strCache>
                <c:ptCount val="1"/>
                <c:pt idx="0">
                  <c:v> - gross margin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quarters'!$B$35:$Q$35</c:f>
              <c:numCache>
                <c:formatCode>0%</c:formatCode>
                <c:ptCount val="16"/>
                <c:pt idx="0">
                  <c:v>0.41999038923594428</c:v>
                </c:pt>
                <c:pt idx="1">
                  <c:v>0.44909404659188956</c:v>
                </c:pt>
                <c:pt idx="2">
                  <c:v>0.44659377628259039</c:v>
                </c:pt>
                <c:pt idx="3">
                  <c:v>0.43129622421175556</c:v>
                </c:pt>
                <c:pt idx="4">
                  <c:v>0.42267593397046049</c:v>
                </c:pt>
                <c:pt idx="5">
                  <c:v>0.42906425183268648</c:v>
                </c:pt>
                <c:pt idx="6">
                  <c:v>0.45655546935608998</c:v>
                </c:pt>
                <c:pt idx="7">
                  <c:v>0.44529540481400437</c:v>
                </c:pt>
                <c:pt idx="8">
                  <c:v>0.42470536883457005</c:v>
                </c:pt>
                <c:pt idx="9">
                  <c:v>0.45102420856610803</c:v>
                </c:pt>
                <c:pt idx="10">
                  <c:v>0.44259451959764134</c:v>
                </c:pt>
                <c:pt idx="11">
                  <c:v>0.43573770491803276</c:v>
                </c:pt>
                <c:pt idx="12">
                  <c:v>0.39850895316810192</c:v>
                </c:pt>
                <c:pt idx="13">
                  <c:v>0.45078719000539025</c:v>
                </c:pt>
                <c:pt idx="14">
                  <c:v>0.44523540072358658</c:v>
                </c:pt>
                <c:pt idx="15">
                  <c:v>0.44396928580754613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9-4B86-8571-98B295EE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551247"/>
        <c:axId val="263545423"/>
      </c:lineChart>
      <c:catAx>
        <c:axId val="263547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540847"/>
        <c:crosses val="autoZero"/>
        <c:auto val="1"/>
        <c:lblAlgn val="ctr"/>
        <c:lblOffset val="100"/>
        <c:noMultiLvlLbl val="0"/>
      </c:catAx>
      <c:valAx>
        <c:axId val="26354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547919"/>
        <c:crosses val="autoZero"/>
        <c:crossBetween val="between"/>
      </c:valAx>
      <c:valAx>
        <c:axId val="263545423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551247"/>
        <c:crosses val="max"/>
        <c:crossBetween val="between"/>
      </c:valAx>
      <c:catAx>
        <c:axId val="2635512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63545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EBITA and op.exp in % of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'Rolling quarters'!$A$37</c:f>
              <c:strCache>
                <c:ptCount val="1"/>
                <c:pt idx="0">
                  <c:v>EBITA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quarters'!$B$37:$Q$37</c:f>
              <c:numCache>
                <c:formatCode>#,##0_);[Red]\(#,##0\)</c:formatCode>
                <c:ptCount val="16"/>
                <c:pt idx="0">
                  <c:v>207</c:v>
                </c:pt>
                <c:pt idx="1">
                  <c:v>352</c:v>
                </c:pt>
                <c:pt idx="2">
                  <c:v>414</c:v>
                </c:pt>
                <c:pt idx="3">
                  <c:v>408</c:v>
                </c:pt>
                <c:pt idx="4">
                  <c:v>228</c:v>
                </c:pt>
                <c:pt idx="5">
                  <c:v>288</c:v>
                </c:pt>
                <c:pt idx="6">
                  <c:v>501</c:v>
                </c:pt>
                <c:pt idx="7">
                  <c:v>505</c:v>
                </c:pt>
                <c:pt idx="8">
                  <c:v>240</c:v>
                </c:pt>
                <c:pt idx="9">
                  <c:v>465</c:v>
                </c:pt>
                <c:pt idx="10">
                  <c:v>529</c:v>
                </c:pt>
                <c:pt idx="11">
                  <c:v>535</c:v>
                </c:pt>
                <c:pt idx="12">
                  <c:v>236.590506</c:v>
                </c:pt>
                <c:pt idx="13">
                  <c:v>802.49807706447814</c:v>
                </c:pt>
                <c:pt idx="14">
                  <c:v>837.47150403367868</c:v>
                </c:pt>
                <c:pt idx="15">
                  <c:v>916.64083299160143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D-41F8-8C38-8620DA825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7419087"/>
        <c:axId val="2107414095"/>
      </c:barChart>
      <c:lineChart>
        <c:grouping val="standard"/>
        <c:varyColors val="0"/>
        <c:ser>
          <c:idx val="1"/>
          <c:order val="1"/>
          <c:tx>
            <c:strRef>
              <c:f>'Rolling quarters'!$A$39</c:f>
              <c:strCache>
                <c:ptCount val="1"/>
                <c:pt idx="0">
                  <c:v>Op.exp in % of 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quarters'!$B$39:$Q$39</c:f>
              <c:numCache>
                <c:formatCode>0%</c:formatCode>
                <c:ptCount val="16"/>
                <c:pt idx="0">
                  <c:v>0.32051898125901007</c:v>
                </c:pt>
                <c:pt idx="1">
                  <c:v>0.29723899913718721</c:v>
                </c:pt>
                <c:pt idx="2">
                  <c:v>0.27249789739276703</c:v>
                </c:pt>
                <c:pt idx="3">
                  <c:v>0.27247956403269757</c:v>
                </c:pt>
                <c:pt idx="4">
                  <c:v>0.32363162467419637</c:v>
                </c:pt>
                <c:pt idx="5">
                  <c:v>0.30487278999568779</c:v>
                </c:pt>
                <c:pt idx="6">
                  <c:v>0.26221877424359968</c:v>
                </c:pt>
                <c:pt idx="7">
                  <c:v>0.26112326768781913</c:v>
                </c:pt>
                <c:pt idx="8">
                  <c:v>0.31994762112614578</c:v>
                </c:pt>
                <c:pt idx="9">
                  <c:v>0.27783985102420855</c:v>
                </c:pt>
                <c:pt idx="10">
                  <c:v>0.25910509885535898</c:v>
                </c:pt>
                <c:pt idx="11">
                  <c:v>0.26032786885245901</c:v>
                </c:pt>
                <c:pt idx="12">
                  <c:v>0.30389266386373498</c:v>
                </c:pt>
                <c:pt idx="13">
                  <c:v>0.16986588342708453</c:v>
                </c:pt>
                <c:pt idx="14">
                  <c:v>0.16781719793911543</c:v>
                </c:pt>
                <c:pt idx="15">
                  <c:v>0.15618938284762521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D-41F8-8C38-8620DA825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414927"/>
        <c:axId val="2107414511"/>
      </c:lineChart>
      <c:catAx>
        <c:axId val="210741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7414095"/>
        <c:crosses val="autoZero"/>
        <c:auto val="1"/>
        <c:lblAlgn val="ctr"/>
        <c:lblOffset val="100"/>
        <c:noMultiLvlLbl val="0"/>
      </c:catAx>
      <c:valAx>
        <c:axId val="210741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7419087"/>
        <c:crosses val="autoZero"/>
        <c:crossBetween val="between"/>
      </c:valAx>
      <c:valAx>
        <c:axId val="2107414511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7414927"/>
        <c:crosses val="max"/>
        <c:crossBetween val="between"/>
      </c:valAx>
      <c:catAx>
        <c:axId val="2107414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74145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76782950514115"/>
          <c:y val="3.8622106307844996E-2"/>
          <c:w val="0.84567675725070379"/>
          <c:h val="0.872018833521822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'TSS Backlog Currency adjusted'!$B$2:$B$5</c:f>
              <c:strCache>
                <c:ptCount val="4"/>
                <c:pt idx="0">
                  <c:v> 88 </c:v>
                </c:pt>
                <c:pt idx="1">
                  <c:v> 114 </c:v>
                </c:pt>
                <c:pt idx="2">
                  <c:v> 125 </c:v>
                </c:pt>
                <c:pt idx="3">
                  <c:v> 121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FF-4AAF-AEDB-A9B7766BFBE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AFF-4AAF-AEDB-A9B7766BFBE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AFF-4AAF-AEDB-A9B7766BFBE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AFF-4AAF-AEDB-A9B7766BFBE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AFF-4AAF-AEDB-A9B7766BFBEF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AFF-4AAF-AEDB-A9B7766BFBEF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AFF-4AAF-AEDB-A9B7766BFBE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AFF-4AAF-AEDB-A9B7766BFBEF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AFF-4AAF-AEDB-A9B7766BFBEF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AFF-4AAF-AEDB-A9B7766BFBEF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adjusted'!$B$33:$B$49</c:f>
              <c:numCache>
                <c:formatCode>_ * #,##0_ ;_ * \-#,##0_ ;_ * "-"??_ ;_ @_ </c:formatCode>
                <c:ptCount val="17"/>
                <c:pt idx="0">
                  <c:v>704</c:v>
                </c:pt>
                <c:pt idx="1">
                  <c:v>873.73899000000006</c:v>
                </c:pt>
                <c:pt idx="2">
                  <c:v>1093</c:v>
                </c:pt>
                <c:pt idx="3">
                  <c:v>1226</c:v>
                </c:pt>
                <c:pt idx="4">
                  <c:v>1147</c:v>
                </c:pt>
                <c:pt idx="5">
                  <c:v>1428.5360000000001</c:v>
                </c:pt>
                <c:pt idx="6">
                  <c:v>1585.4169999999999</c:v>
                </c:pt>
                <c:pt idx="7">
                  <c:v>1578.742</c:v>
                </c:pt>
                <c:pt idx="8">
                  <c:v>1399.4673099999998</c:v>
                </c:pt>
                <c:pt idx="9">
                  <c:v>1464.3044000000002</c:v>
                </c:pt>
                <c:pt idx="10">
                  <c:v>1345.4648</c:v>
                </c:pt>
                <c:pt idx="11">
                  <c:v>1429.6091000000001</c:v>
                </c:pt>
                <c:pt idx="12">
                  <c:v>1458.2940000000001</c:v>
                </c:pt>
                <c:pt idx="13">
                  <c:v>1642</c:v>
                </c:pt>
                <c:pt idx="14">
                  <c:v>1745.92</c:v>
                </c:pt>
                <c:pt idx="15">
                  <c:v>1557.3300000000002</c:v>
                </c:pt>
                <c:pt idx="16">
                  <c:v>1470.0301200000001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FF-4AAF-AEDB-A9B7766BFBEF}"/>
            </c:ext>
          </c:extLst>
        </c:ser>
        <c:ser>
          <c:idx val="1"/>
          <c:order val="1"/>
          <c:tx>
            <c:strRef>
              <c:f>'TSS Backlog Currency adjusted'!$C$1</c:f>
              <c:strCache>
                <c:ptCount val="1"/>
                <c:pt idx="0">
                  <c:v>Inorganic backlog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AFF-4AAF-AEDB-A9B7766BFBEF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AFF-4AAF-AEDB-A9B7766BFBEF}"/>
              </c:ext>
            </c:extLst>
          </c:dPt>
          <c:dPt>
            <c:idx val="3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0AFF-4AAF-AEDB-A9B7766BFBEF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adjusted'!$C$33:$C$49</c:f>
              <c:numCache>
                <c:formatCode>_ * #,##0_ ;_ * \-#,##0_ ;_ * "-"??_ ;_ @_ </c:formatCode>
                <c:ptCount val="17"/>
                <c:pt idx="1">
                  <c:v>264.70496000000003</c:v>
                </c:pt>
                <c:pt idx="5">
                  <c:v>85.796000000000006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AFF-4AAF-AEDB-A9B7766BFBEF}"/>
            </c:ext>
          </c:extLst>
        </c:ser>
        <c:ser>
          <c:idx val="2"/>
          <c:order val="2"/>
          <c:tx>
            <c:strRef>
              <c:f>'TSS Backlog Currency adjusted'!$J$1</c:f>
              <c:strCache>
                <c:ptCount val="1"/>
                <c:pt idx="0">
                  <c:v> Currency effect 1Q20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AFF-4AAF-AEDB-A9B7766BFBE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AFF-4AAF-AEDB-A9B7766BFBEF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adjusted'!$J$33:$J$49</c:f>
              <c:numCache>
                <c:formatCode>General</c:formatCode>
                <c:ptCount val="17"/>
                <c:pt idx="13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AFF-4AAF-AEDB-A9B7766BF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52004352"/>
        <c:axId val="352010240"/>
      </c:barChart>
      <c:catAx>
        <c:axId val="35200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52010240"/>
        <c:crosses val="autoZero"/>
        <c:auto val="1"/>
        <c:lblAlgn val="ctr"/>
        <c:lblOffset val="100"/>
        <c:noMultiLvlLbl val="0"/>
      </c:catAx>
      <c:valAx>
        <c:axId val="352010240"/>
        <c:scaling>
          <c:orientation val="minMax"/>
          <c:max val="2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MNOK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52004352"/>
        <c:crosses val="autoZero"/>
        <c:crossBetween val="between"/>
        <c:majorUnit val="200"/>
      </c:valAx>
    </c:plotArea>
    <c:plotVisOnly val="1"/>
    <c:dispBlanksAs val="gap"/>
    <c:showDLblsOverMax val="0"/>
  </c:chart>
  <c:spPr>
    <a:solidFill>
      <a:schemeClr val="bg1"/>
    </a:solidFill>
    <a:ln w="6350">
      <a:solidFill>
        <a:schemeClr val="accent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70221208049019"/>
          <c:y val="3.8389351851851855E-2"/>
          <c:w val="0.85247915290595211"/>
          <c:h val="0.878666666666666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'TSS Backlog Currency adjusted'!$D$1</c:f>
              <c:strCache>
                <c:ptCount val="1"/>
                <c:pt idx="0">
                  <c:v>Intake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BB9-4FAC-9D14-D2A35D8ED64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BB9-4FAC-9D14-D2A35D8ED64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BB9-4FAC-9D14-D2A35D8ED64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BB9-4FAC-9D14-D2A35D8ED64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BB9-4FAC-9D14-D2A35D8ED64C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BB9-4FAC-9D14-D2A35D8ED64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BB9-4FAC-9D14-D2A35D8ED64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BB9-4FAC-9D14-D2A35D8ED64C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BB9-4FAC-9D14-D2A35D8ED64C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BB9-4FAC-9D14-D2A35D8ED64C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adjusted'!$D$33:$D$49</c:f>
              <c:numCache>
                <c:formatCode>_ * #,##0_ ;_ * \-#,##0_ ;_ * "-"??_ ;_ @_ </c:formatCode>
                <c:ptCount val="17"/>
                <c:pt idx="0">
                  <c:v>649.39070000000004</c:v>
                </c:pt>
                <c:pt idx="1">
                  <c:v>681.73899000000006</c:v>
                </c:pt>
                <c:pt idx="2">
                  <c:v>951</c:v>
                </c:pt>
                <c:pt idx="3">
                  <c:v>964</c:v>
                </c:pt>
                <c:pt idx="4">
                  <c:v>967</c:v>
                </c:pt>
                <c:pt idx="5">
                  <c:v>1102</c:v>
                </c:pt>
                <c:pt idx="6">
                  <c:v>1144</c:v>
                </c:pt>
                <c:pt idx="7">
                  <c:v>1105</c:v>
                </c:pt>
                <c:pt idx="8">
                  <c:v>1146</c:v>
                </c:pt>
                <c:pt idx="9">
                  <c:v>1104</c:v>
                </c:pt>
                <c:pt idx="10">
                  <c:v>1111</c:v>
                </c:pt>
                <c:pt idx="11">
                  <c:v>1224</c:v>
                </c:pt>
                <c:pt idx="12">
                  <c:v>1332</c:v>
                </c:pt>
                <c:pt idx="13">
                  <c:v>1221</c:v>
                </c:pt>
                <c:pt idx="14">
                  <c:v>1095</c:v>
                </c:pt>
                <c:pt idx="15">
                  <c:v>1102</c:v>
                </c:pt>
                <c:pt idx="16">
                  <c:v>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B9-4FAC-9D14-D2A35D8ED64C}"/>
            </c:ext>
          </c:extLst>
        </c:ser>
        <c:ser>
          <c:idx val="2"/>
          <c:order val="1"/>
          <c:tx>
            <c:strRef>
              <c:f>'TSS Backlog Currency adjusted'!$E$1</c:f>
              <c:strCache>
                <c:ptCount val="1"/>
                <c:pt idx="0">
                  <c:v>Intake inorganic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adjusted'!$E$33:$E$49</c:f>
              <c:numCache>
                <c:formatCode>_ * #,##0_ ;_ * \-#,##0_ ;_ * "-"??_ ;_ @_ </c:formatCode>
                <c:ptCount val="17"/>
                <c:pt idx="1">
                  <c:v>144</c:v>
                </c:pt>
                <c:pt idx="5">
                  <c:v>85.796000000000006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BB9-4FAC-9D14-D2A35D8ED64C}"/>
            </c:ext>
          </c:extLst>
        </c:ser>
        <c:ser>
          <c:idx val="1"/>
          <c:order val="2"/>
          <c:tx>
            <c:strRef>
              <c:f>'TSS Backlog Currency adjusted'!$H$1</c:f>
              <c:strCache>
                <c:ptCount val="1"/>
                <c:pt idx="0">
                  <c:v> Currency effect 1Q20 </c:v>
                </c:pt>
              </c:strCache>
            </c:strRef>
          </c:tx>
          <c:invertIfNegative val="0"/>
          <c:dPt>
            <c:idx val="1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6BB9-4FAC-9D14-D2A35D8ED64C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6BB9-4FAC-9D14-D2A35D8ED64C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adjusted'!$H$33:$H$49</c:f>
              <c:numCache>
                <c:formatCode>General</c:formatCode>
                <c:ptCount val="17"/>
                <c:pt idx="13" formatCode="#,##0_ ;[Red]\-#,##0\ 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BB9-4FAC-9D14-D2A35D8ED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52048256"/>
        <c:axId val="352049792"/>
      </c:barChart>
      <c:catAx>
        <c:axId val="35204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52049792"/>
        <c:crosses val="autoZero"/>
        <c:auto val="1"/>
        <c:lblAlgn val="ctr"/>
        <c:lblOffset val="100"/>
        <c:noMultiLvlLbl val="0"/>
      </c:catAx>
      <c:valAx>
        <c:axId val="352049792"/>
        <c:scaling>
          <c:orientation val="minMax"/>
          <c:max val="2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MNOK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52048256"/>
        <c:crosses val="autoZero"/>
        <c:crossBetween val="between"/>
        <c:majorUnit val="200"/>
      </c:valAx>
    </c:plotArea>
    <c:plotVisOnly val="1"/>
    <c:dispBlanksAs val="gap"/>
    <c:showDLblsOverMax val="0"/>
  </c:chart>
  <c:spPr>
    <a:ln w="6350">
      <a:solidFill>
        <a:schemeClr val="accent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70113507722868"/>
          <c:y val="3.5128133237813775E-2"/>
          <c:w val="0.85794014662145945"/>
          <c:h val="0.872559282007200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'TSS Backlog Currency adjusted'!$I$32</c:f>
              <c:strCache>
                <c:ptCount val="1"/>
                <c:pt idx="0">
                  <c:v> -  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4C8-447D-A248-D73DA4A0FF6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4C8-447D-A248-D73DA4A0FF6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4C8-447D-A248-D73DA4A0FF6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4C8-447D-A248-D73DA4A0FF6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4C8-447D-A248-D73DA4A0FF6C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4C8-447D-A248-D73DA4A0FF6C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4C8-447D-A248-D73DA4A0FF6C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adjusted'!$F$33:$F$49</c:f>
              <c:numCache>
                <c:formatCode>_ * #,##0_ ;_ * \-#,##0_ ;_ * "-"??_ ;_ @_ </c:formatCode>
                <c:ptCount val="17"/>
                <c:pt idx="0">
                  <c:v>738</c:v>
                </c:pt>
                <c:pt idx="1">
                  <c:v>512</c:v>
                </c:pt>
                <c:pt idx="2">
                  <c:v>997</c:v>
                </c:pt>
                <c:pt idx="3">
                  <c:v>831</c:v>
                </c:pt>
                <c:pt idx="4">
                  <c:v>1046</c:v>
                </c:pt>
                <c:pt idx="5">
                  <c:v>809</c:v>
                </c:pt>
                <c:pt idx="6">
                  <c:v>1073</c:v>
                </c:pt>
                <c:pt idx="7">
                  <c:v>1112</c:v>
                </c:pt>
                <c:pt idx="8">
                  <c:v>1326</c:v>
                </c:pt>
                <c:pt idx="9">
                  <c:v>1039</c:v>
                </c:pt>
                <c:pt idx="10">
                  <c:v>1230</c:v>
                </c:pt>
                <c:pt idx="11">
                  <c:v>1140</c:v>
                </c:pt>
                <c:pt idx="12">
                  <c:v>1303</c:v>
                </c:pt>
                <c:pt idx="13">
                  <c:v>1045</c:v>
                </c:pt>
                <c:pt idx="14">
                  <c:v>1264</c:v>
                </c:pt>
                <c:pt idx="15">
                  <c:v>1291</c:v>
                </c:pt>
                <c:pt idx="16">
                  <c:v>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C8-447D-A248-D73DA4A0FF6C}"/>
            </c:ext>
          </c:extLst>
        </c:ser>
        <c:ser>
          <c:idx val="1"/>
          <c:order val="1"/>
          <c:tx>
            <c:strRef>
              <c:f>'TSS Backlog Currency adjusted'!$G$1</c:f>
              <c:strCache>
                <c:ptCount val="1"/>
                <c:pt idx="0">
                  <c:v>Revenues Inorganic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4C8-447D-A248-D73DA4A0FF6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4C8-447D-A248-D73DA4A0FF6C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adjusted'!$G$33:$G$49</c:f>
              <c:numCache>
                <c:formatCode>_ * #,##0_ ;_ * \-#,##0_ ;_ * "-"??_ ;_ @_ </c:formatCode>
                <c:ptCount val="17"/>
                <c:pt idx="1">
                  <c:v>175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4C8-447D-A248-D73DA4A0FF6C}"/>
            </c:ext>
          </c:extLst>
        </c:ser>
        <c:ser>
          <c:idx val="2"/>
          <c:order val="2"/>
          <c:tx>
            <c:strRef>
              <c:f>'TSS Backlog Currency adjusted'!$K$1</c:f>
              <c:strCache>
                <c:ptCount val="1"/>
                <c:pt idx="0">
                  <c:v> Currency effect 1Q20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8E2-4556-91E2-DD208AC4EBA5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adjusted'!$K$33:$K$49</c:f>
              <c:numCache>
                <c:formatCode>General</c:formatCode>
                <c:ptCount val="17"/>
                <c:pt idx="13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8E2-4556-91E2-DD208AC4E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75524736"/>
        <c:axId val="355992704"/>
      </c:barChart>
      <c:catAx>
        <c:axId val="375524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55992704"/>
        <c:crosses val="autoZero"/>
        <c:auto val="1"/>
        <c:lblAlgn val="ctr"/>
        <c:lblOffset val="100"/>
        <c:noMultiLvlLbl val="0"/>
      </c:catAx>
      <c:valAx>
        <c:axId val="355992704"/>
        <c:scaling>
          <c:orientation val="minMax"/>
          <c:max val="2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MNOK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75524736"/>
        <c:crosses val="autoZero"/>
        <c:crossBetween val="between"/>
        <c:majorUnit val="200"/>
      </c:valAx>
    </c:plotArea>
    <c:plotVisOnly val="1"/>
    <c:dispBlanksAs val="gap"/>
    <c:showDLblsOverMax val="0"/>
  </c:chart>
  <c:spPr>
    <a:ln w="6350">
      <a:solidFill>
        <a:schemeClr val="accent1"/>
      </a:solidFill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168524</xdr:colOff>
      <xdr:row>54</xdr:row>
      <xdr:rowOff>90120</xdr:rowOff>
    </xdr:from>
    <xdr:to>
      <xdr:col>8</xdr:col>
      <xdr:colOff>483581</xdr:colOff>
      <xdr:row>71</xdr:row>
      <xdr:rowOff>93051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D67DD0E-7D82-4B23-ADBB-4DC8B7935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109909</xdr:colOff>
      <xdr:row>54</xdr:row>
      <xdr:rowOff>112101</xdr:rowOff>
    </xdr:from>
    <xdr:to>
      <xdr:col>16</xdr:col>
      <xdr:colOff>424966</xdr:colOff>
      <xdr:row>71</xdr:row>
      <xdr:rowOff>115032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4226896-4D11-48F4-9475-2B47BE5E8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123097</xdr:colOff>
      <xdr:row>72</xdr:row>
      <xdr:rowOff>88655</xdr:rowOff>
    </xdr:from>
    <xdr:to>
      <xdr:col>8</xdr:col>
      <xdr:colOff>438154</xdr:colOff>
      <xdr:row>89</xdr:row>
      <xdr:rowOff>91585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F30D3AD-EABC-4377-AA75-D39DC68A5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64482</xdr:colOff>
      <xdr:row>72</xdr:row>
      <xdr:rowOff>110636</xdr:rowOff>
    </xdr:from>
    <xdr:to>
      <xdr:col>16</xdr:col>
      <xdr:colOff>379539</xdr:colOff>
      <xdr:row>89</xdr:row>
      <xdr:rowOff>113566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E501AE3-5DED-4655-82BA-31DEC7EC7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136775</xdr:colOff>
      <xdr:row>55</xdr:row>
      <xdr:rowOff>10205</xdr:rowOff>
    </xdr:from>
    <xdr:to>
      <xdr:col>26</xdr:col>
      <xdr:colOff>564716</xdr:colOff>
      <xdr:row>76</xdr:row>
      <xdr:rowOff>7328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67C4FA-0A2D-497E-AEE5-648664438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501933</xdr:colOff>
      <xdr:row>55</xdr:row>
      <xdr:rowOff>10205</xdr:rowOff>
    </xdr:from>
    <xdr:to>
      <xdr:col>13</xdr:col>
      <xdr:colOff>0</xdr:colOff>
      <xdr:row>75</xdr:row>
      <xdr:rowOff>179933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8DB94D-CFAE-41AB-A138-3AC5A9F44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218360</xdr:colOff>
      <xdr:row>55</xdr:row>
      <xdr:rowOff>11907</xdr:rowOff>
    </xdr:from>
    <xdr:to>
      <xdr:col>7</xdr:col>
      <xdr:colOff>113205</xdr:colOff>
      <xdr:row>76</xdr:row>
      <xdr:rowOff>20359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0D4479E-B2D8-4D83-B4E6-75134651A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387098</xdr:colOff>
      <xdr:row>120</xdr:row>
      <xdr:rowOff>173153</xdr:rowOff>
    </xdr:from>
    <xdr:ext cx="496546" cy="280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2EB7DE1-481A-4525-8194-3D17BE90EC26}"/>
            </a:ext>
          </a:extLst>
        </xdr:cNvPr>
        <xdr:cNvSpPr txBox="1"/>
      </xdr:nvSpPr>
      <xdr:spPr>
        <a:xfrm>
          <a:off x="996698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2009</a:t>
          </a:r>
        </a:p>
      </xdr:txBody>
    </xdr:sp>
    <xdr:clientData/>
  </xdr:oneCellAnchor>
  <xdr:oneCellAnchor>
    <xdr:from>
      <xdr:col>2</xdr:col>
      <xdr:colOff>188434</xdr:colOff>
      <xdr:row>120</xdr:row>
      <xdr:rowOff>173153</xdr:rowOff>
    </xdr:from>
    <xdr:ext cx="496546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921892B-D932-4F77-82CF-91AFDD5F1D18}"/>
            </a:ext>
          </a:extLst>
        </xdr:cNvPr>
        <xdr:cNvSpPr txBox="1"/>
      </xdr:nvSpPr>
      <xdr:spPr>
        <a:xfrm>
          <a:off x="1779109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2010</a:t>
          </a:r>
        </a:p>
      </xdr:txBody>
    </xdr:sp>
    <xdr:clientData/>
  </xdr:oneCellAnchor>
  <xdr:oneCellAnchor>
    <xdr:from>
      <xdr:col>3</xdr:col>
      <xdr:colOff>199320</xdr:colOff>
      <xdr:row>120</xdr:row>
      <xdr:rowOff>173153</xdr:rowOff>
    </xdr:from>
    <xdr:ext cx="496546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2F892EE-22B0-4488-9ABC-D0665A492334}"/>
            </a:ext>
          </a:extLst>
        </xdr:cNvPr>
        <xdr:cNvSpPr txBox="1"/>
      </xdr:nvSpPr>
      <xdr:spPr>
        <a:xfrm>
          <a:off x="2571045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2011</a:t>
          </a:r>
        </a:p>
      </xdr:txBody>
    </xdr:sp>
    <xdr:clientData/>
  </xdr:oneCellAnchor>
  <xdr:oneCellAnchor>
    <xdr:from>
      <xdr:col>3</xdr:col>
      <xdr:colOff>1010306</xdr:colOff>
      <xdr:row>120</xdr:row>
      <xdr:rowOff>173153</xdr:rowOff>
    </xdr:from>
    <xdr:ext cx="496546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99923BD-946F-4757-8667-0565D8422A54}"/>
            </a:ext>
          </a:extLst>
        </xdr:cNvPr>
        <xdr:cNvSpPr txBox="1"/>
      </xdr:nvSpPr>
      <xdr:spPr>
        <a:xfrm>
          <a:off x="3382031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2012</a:t>
          </a:r>
        </a:p>
      </xdr:txBody>
    </xdr:sp>
    <xdr:clientData/>
  </xdr:oneCellAnchor>
  <xdr:oneCellAnchor>
    <xdr:from>
      <xdr:col>4</xdr:col>
      <xdr:colOff>754492</xdr:colOff>
      <xdr:row>120</xdr:row>
      <xdr:rowOff>173153</xdr:rowOff>
    </xdr:from>
    <xdr:ext cx="496546" cy="28020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C362D84-3085-4BC0-926C-B1BCB0984827}"/>
            </a:ext>
          </a:extLst>
        </xdr:cNvPr>
        <xdr:cNvSpPr txBox="1"/>
      </xdr:nvSpPr>
      <xdr:spPr>
        <a:xfrm>
          <a:off x="4164442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2013</a:t>
          </a:r>
        </a:p>
      </xdr:txBody>
    </xdr:sp>
    <xdr:clientData/>
  </xdr:oneCellAnchor>
  <xdr:oneCellAnchor>
    <xdr:from>
      <xdr:col>5</xdr:col>
      <xdr:colOff>231978</xdr:colOff>
      <xdr:row>120</xdr:row>
      <xdr:rowOff>173153</xdr:rowOff>
    </xdr:from>
    <xdr:ext cx="496546" cy="28020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F7CA90C-C398-404E-B46B-DCEECF97AFE9}"/>
            </a:ext>
          </a:extLst>
        </xdr:cNvPr>
        <xdr:cNvSpPr txBox="1"/>
      </xdr:nvSpPr>
      <xdr:spPr>
        <a:xfrm>
          <a:off x="4937328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2014</a:t>
          </a:r>
        </a:p>
      </xdr:txBody>
    </xdr:sp>
    <xdr:clientData/>
  </xdr:oneCellAnchor>
  <xdr:oneCellAnchor>
    <xdr:from>
      <xdr:col>5</xdr:col>
      <xdr:colOff>1042964</xdr:colOff>
      <xdr:row>120</xdr:row>
      <xdr:rowOff>173153</xdr:rowOff>
    </xdr:from>
    <xdr:ext cx="496546" cy="28020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A8E4465-C6CD-4B4C-98FE-17F120708711}"/>
            </a:ext>
          </a:extLst>
        </xdr:cNvPr>
        <xdr:cNvSpPr txBox="1"/>
      </xdr:nvSpPr>
      <xdr:spPr>
        <a:xfrm>
          <a:off x="5748314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2015</a:t>
          </a:r>
        </a:p>
      </xdr:txBody>
    </xdr:sp>
    <xdr:clientData/>
  </xdr:oneCellAnchor>
  <xdr:oneCellAnchor>
    <xdr:from>
      <xdr:col>6</xdr:col>
      <xdr:colOff>520448</xdr:colOff>
      <xdr:row>120</xdr:row>
      <xdr:rowOff>173153</xdr:rowOff>
    </xdr:from>
    <xdr:ext cx="496546" cy="280205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9713BA5-A269-4D5E-8F70-C3E4745F21F9}"/>
            </a:ext>
          </a:extLst>
        </xdr:cNvPr>
        <xdr:cNvSpPr txBox="1"/>
      </xdr:nvSpPr>
      <xdr:spPr>
        <a:xfrm>
          <a:off x="6521198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2016</a:t>
          </a:r>
        </a:p>
      </xdr:txBody>
    </xdr:sp>
    <xdr:clientData/>
  </xdr:oneCellAnchor>
  <xdr:twoCellAnchor>
    <xdr:from>
      <xdr:col>0</xdr:col>
      <xdr:colOff>285751</xdr:colOff>
      <xdr:row>53</xdr:row>
      <xdr:rowOff>40822</xdr:rowOff>
    </xdr:from>
    <xdr:to>
      <xdr:col>3</xdr:col>
      <xdr:colOff>464828</xdr:colOff>
      <xdr:row>54</xdr:row>
      <xdr:rowOff>14726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C91F014D-9C2F-4DAF-937D-B04C5AE80EF0}"/>
            </a:ext>
          </a:extLst>
        </xdr:cNvPr>
        <xdr:cNvSpPr>
          <a:spLocks noChangeArrowheads="1"/>
        </xdr:cNvSpPr>
      </xdr:nvSpPr>
      <xdr:spPr bwMode="gray">
        <a:xfrm>
          <a:off x="285751" y="9769929"/>
          <a:ext cx="2546720" cy="16440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square" lIns="0" tIns="0" rIns="0" bIns="0">
          <a:sp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lvl="1" defTabSz="895350">
            <a:buSzPct val="100000"/>
          </a:pPr>
          <a:r>
            <a:rPr lang="en-US" sz="1050" b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Revenues</a:t>
          </a:r>
          <a:endParaRPr lang="en-US" sz="105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217715</xdr:colOff>
      <xdr:row>54</xdr:row>
      <xdr:rowOff>121776</xdr:rowOff>
    </xdr:from>
    <xdr:to>
      <xdr:col>7</xdr:col>
      <xdr:colOff>136072</xdr:colOff>
      <xdr:row>54</xdr:row>
      <xdr:rowOff>121776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4B2704F0-9EF1-474C-A219-E6B9D535DED3}"/>
            </a:ext>
          </a:extLst>
        </xdr:cNvPr>
        <xdr:cNvCxnSpPr/>
      </xdr:nvCxnSpPr>
      <xdr:spPr bwMode="auto">
        <a:xfrm>
          <a:off x="217715" y="9846801"/>
          <a:ext cx="7214507" cy="0"/>
        </a:xfrm>
        <a:prstGeom prst="lin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</xdr:col>
      <xdr:colOff>533401</xdr:colOff>
      <xdr:row>53</xdr:row>
      <xdr:rowOff>29936</xdr:rowOff>
    </xdr:from>
    <xdr:to>
      <xdr:col>9</xdr:col>
      <xdr:colOff>249835</xdr:colOff>
      <xdr:row>54</xdr:row>
      <xdr:rowOff>3840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AF670C18-BAD2-4169-B3EA-D9C784172C8B}"/>
            </a:ext>
          </a:extLst>
        </xdr:cNvPr>
        <xdr:cNvSpPr>
          <a:spLocks noChangeArrowheads="1"/>
        </xdr:cNvSpPr>
      </xdr:nvSpPr>
      <xdr:spPr bwMode="gray">
        <a:xfrm>
          <a:off x="7813222" y="9759043"/>
          <a:ext cx="2546720" cy="16440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square" lIns="0" tIns="0" rIns="0" bIns="0">
          <a:sp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lvl="1" defTabSz="895350">
            <a:buSzPct val="100000"/>
          </a:pPr>
          <a:r>
            <a:rPr lang="en-US" sz="1050" b="1" kern="1200">
              <a:solidFill>
                <a:srgbClr val="000000"/>
              </a:solidFill>
              <a:latin typeface="+mn-lt"/>
              <a:ea typeface="+mn-ea"/>
              <a:cs typeface="Calibri" panose="020F0502020204030204" pitchFamily="34" charset="0"/>
            </a:rPr>
            <a:t>Order</a:t>
          </a:r>
          <a:r>
            <a:rPr lang="en-US" sz="1050" b="1">
              <a:solidFill>
                <a:srgbClr val="000000"/>
              </a:solidFill>
              <a:latin typeface="+mn-lt"/>
              <a:cs typeface="Tahoma" pitchFamily="34" charset="0"/>
            </a:rPr>
            <a:t> Intake</a:t>
          </a:r>
          <a:endParaRPr lang="en-US" sz="1050">
            <a:solidFill>
              <a:srgbClr val="000000"/>
            </a:solidFill>
            <a:latin typeface="+mn-lt"/>
            <a:cs typeface="Tahoma" pitchFamily="34" charset="0"/>
          </a:endParaRPr>
        </a:p>
      </xdr:txBody>
    </xdr:sp>
    <xdr:clientData/>
  </xdr:twoCellAnchor>
  <xdr:twoCellAnchor>
    <xdr:from>
      <xdr:col>7</xdr:col>
      <xdr:colOff>465365</xdr:colOff>
      <xdr:row>54</xdr:row>
      <xdr:rowOff>110890</xdr:rowOff>
    </xdr:from>
    <xdr:to>
      <xdr:col>13</xdr:col>
      <xdr:colOff>108857</xdr:colOff>
      <xdr:row>54</xdr:row>
      <xdr:rowOff>110890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B7F8C709-0B62-47DB-800B-3D4CA2F65790}"/>
            </a:ext>
          </a:extLst>
        </xdr:cNvPr>
        <xdr:cNvCxnSpPr/>
      </xdr:nvCxnSpPr>
      <xdr:spPr bwMode="auto">
        <a:xfrm>
          <a:off x="7745186" y="10030497"/>
          <a:ext cx="7317921" cy="0"/>
        </a:xfrm>
        <a:prstGeom prst="lin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15</xdr:col>
      <xdr:colOff>250372</xdr:colOff>
      <xdr:row>52</xdr:row>
      <xdr:rowOff>182336</xdr:rowOff>
    </xdr:from>
    <xdr:to>
      <xdr:col>19</xdr:col>
      <xdr:colOff>347806</xdr:colOff>
      <xdr:row>53</xdr:row>
      <xdr:rowOff>156240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975F1712-4102-45C8-A265-A9D292C38C3D}"/>
            </a:ext>
          </a:extLst>
        </xdr:cNvPr>
        <xdr:cNvSpPr>
          <a:spLocks noChangeArrowheads="1"/>
        </xdr:cNvSpPr>
      </xdr:nvSpPr>
      <xdr:spPr bwMode="gray">
        <a:xfrm>
          <a:off x="16823872" y="9720943"/>
          <a:ext cx="2546720" cy="16440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square" lIns="0" tIns="0" rIns="0" bIns="0">
          <a:sp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lvl="1" defTabSz="895350">
            <a:buSzPct val="100000"/>
          </a:pPr>
          <a:r>
            <a:rPr lang="en-US" sz="1050" b="1">
              <a:solidFill>
                <a:srgbClr val="000000"/>
              </a:solidFill>
              <a:latin typeface="+mn-lt"/>
              <a:cs typeface="Tahoma" pitchFamily="34" charset="0"/>
            </a:rPr>
            <a:t>Order backlog</a:t>
          </a:r>
          <a:endParaRPr lang="en-US" sz="1050">
            <a:solidFill>
              <a:srgbClr val="000000"/>
            </a:solidFill>
            <a:latin typeface="+mn-lt"/>
            <a:cs typeface="Tahoma" pitchFamily="34" charset="0"/>
          </a:endParaRPr>
        </a:p>
      </xdr:txBody>
    </xdr:sp>
    <xdr:clientData/>
  </xdr:twoCellAnchor>
  <xdr:twoCellAnchor>
    <xdr:from>
      <xdr:col>15</xdr:col>
      <xdr:colOff>182336</xdr:colOff>
      <xdr:row>54</xdr:row>
      <xdr:rowOff>72790</xdr:rowOff>
    </xdr:from>
    <xdr:to>
      <xdr:col>27</xdr:col>
      <xdr:colOff>32657</xdr:colOff>
      <xdr:row>54</xdr:row>
      <xdr:rowOff>72790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25AD11A6-586E-410B-83D0-E0D679F2972A}"/>
            </a:ext>
          </a:extLst>
        </xdr:cNvPr>
        <xdr:cNvCxnSpPr/>
      </xdr:nvCxnSpPr>
      <xdr:spPr bwMode="auto">
        <a:xfrm>
          <a:off x="15317561" y="9797815"/>
          <a:ext cx="7165521" cy="0"/>
        </a:xfrm>
        <a:prstGeom prst="lin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190500</xdr:colOff>
      <xdr:row>76</xdr:row>
      <xdr:rowOff>142875</xdr:rowOff>
    </xdr:from>
    <xdr:to>
      <xdr:col>4</xdr:col>
      <xdr:colOff>743293</xdr:colOff>
      <xdr:row>77</xdr:row>
      <xdr:rowOff>171850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C9B522C-A20D-4043-8E62-C938B7F1B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0" y="14058900"/>
          <a:ext cx="3962743" cy="219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531812</xdr:colOff>
      <xdr:row>33</xdr:row>
      <xdr:rowOff>150813</xdr:rowOff>
    </xdr:from>
    <xdr:to>
      <xdr:col>19</xdr:col>
      <xdr:colOff>79375</xdr:colOff>
      <xdr:row>38</xdr:row>
      <xdr:rowOff>71438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4C06778-765F-47BF-86B2-D8BA2626D996}"/>
            </a:ext>
          </a:extLst>
        </xdr:cNvPr>
        <xdr:cNvCxnSpPr/>
      </xdr:nvCxnSpPr>
      <xdr:spPr>
        <a:xfrm>
          <a:off x="11303000" y="5421313"/>
          <a:ext cx="1381125" cy="714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63500</xdr:colOff>
      <xdr:row>65</xdr:row>
      <xdr:rowOff>23813</xdr:rowOff>
    </xdr:from>
    <xdr:to>
      <xdr:col>15</xdr:col>
      <xdr:colOff>71438</xdr:colOff>
      <xdr:row>77</xdr:row>
      <xdr:rowOff>15875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8488AA0-9B2E-4FFD-AC5B-9FC02AC031D2}"/>
            </a:ext>
          </a:extLst>
        </xdr:cNvPr>
        <xdr:cNvCxnSpPr/>
      </xdr:nvCxnSpPr>
      <xdr:spPr>
        <a:xfrm flipV="1">
          <a:off x="6556375" y="10374313"/>
          <a:ext cx="3675063" cy="18970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BD52B-FE62-47D1-A534-58D4ECEBFF2D}">
  <dimension ref="A1:AF48"/>
  <sheetViews>
    <sheetView showGridLines="0" zoomScale="120" zoomScaleNormal="120" workbookViewId="0">
      <selection activeCell="Y11" sqref="Y11"/>
    </sheetView>
  </sheetViews>
  <sheetFormatPr defaultColWidth="8.7109375" defaultRowHeight="12.75"/>
  <cols>
    <col min="1" max="1" width="16.42578125" style="210" customWidth="1"/>
    <col min="2" max="2" width="5.5703125" style="210" bestFit="1" customWidth="1"/>
    <col min="3" max="3" width="7.140625" style="210" bestFit="1" customWidth="1"/>
    <col min="4" max="4" width="6.140625" style="210" bestFit="1" customWidth="1"/>
    <col min="5" max="5" width="8.85546875" style="210" bestFit="1" customWidth="1"/>
    <col min="6" max="6" width="7.5703125" style="210" bestFit="1" customWidth="1"/>
    <col min="7" max="7" width="2.7109375" style="210" hidden="1" customWidth="1"/>
    <col min="8" max="8" width="5.7109375" style="210" bestFit="1" customWidth="1"/>
    <col min="9" max="9" width="7.5703125" style="210" bestFit="1" customWidth="1"/>
    <col min="10" max="10" width="2.140625" style="210" bestFit="1" customWidth="1"/>
    <col min="11" max="11" width="6.7109375" style="210" bestFit="1" customWidth="1"/>
    <col min="12" max="12" width="4.42578125" style="210" bestFit="1" customWidth="1"/>
    <col min="13" max="13" width="3.140625" style="210" hidden="1" customWidth="1"/>
    <col min="14" max="14" width="5.5703125" style="210" bestFit="1" customWidth="1"/>
    <col min="15" max="18" width="8.42578125" style="210" customWidth="1"/>
    <col min="19" max="19" width="3.42578125" style="210" customWidth="1"/>
    <col min="20" max="23" width="8.42578125" style="210" customWidth="1"/>
    <col min="24" max="16384" width="8.7109375" style="210"/>
  </cols>
  <sheetData>
    <row r="1" spans="1:32">
      <c r="A1" s="213" t="s">
        <v>0</v>
      </c>
      <c r="B1" s="211" t="s">
        <v>1</v>
      </c>
      <c r="C1" s="211"/>
      <c r="D1" s="211"/>
      <c r="E1" s="211"/>
      <c r="F1" s="211"/>
      <c r="H1" s="211" t="s">
        <v>2</v>
      </c>
      <c r="I1" s="211"/>
      <c r="J1" s="211"/>
      <c r="K1" s="211"/>
      <c r="L1" s="211"/>
      <c r="N1" s="211" t="s">
        <v>1</v>
      </c>
      <c r="O1" s="211"/>
      <c r="P1" s="211"/>
      <c r="Q1" s="211"/>
      <c r="R1" s="211"/>
      <c r="T1" s="211" t="s">
        <v>3</v>
      </c>
      <c r="U1" s="211"/>
      <c r="V1" s="211"/>
      <c r="W1" s="211"/>
    </row>
    <row r="2" spans="1:32">
      <c r="A2" s="214" t="s">
        <v>4</v>
      </c>
      <c r="B2" s="215" t="s">
        <v>5</v>
      </c>
      <c r="C2" s="215" t="s">
        <v>6</v>
      </c>
      <c r="D2" s="215" t="s">
        <v>7</v>
      </c>
      <c r="E2" s="215" t="s">
        <v>8</v>
      </c>
      <c r="F2" s="215" t="s">
        <v>9</v>
      </c>
      <c r="H2" s="215" t="s">
        <v>10</v>
      </c>
      <c r="I2" s="215" t="s">
        <v>11</v>
      </c>
      <c r="J2" s="215"/>
      <c r="K2" s="215" t="s">
        <v>12</v>
      </c>
      <c r="L2" s="215" t="s">
        <v>13</v>
      </c>
      <c r="N2" s="215" t="s">
        <v>5</v>
      </c>
      <c r="O2" s="215" t="s">
        <v>6</v>
      </c>
      <c r="P2" s="215" t="s">
        <v>7</v>
      </c>
      <c r="Q2" s="215" t="s">
        <v>8</v>
      </c>
      <c r="R2" s="215" t="s">
        <v>9</v>
      </c>
      <c r="T2" s="215" t="s">
        <v>6</v>
      </c>
      <c r="U2" s="215" t="s">
        <v>7</v>
      </c>
      <c r="V2" s="215" t="s">
        <v>8</v>
      </c>
      <c r="W2" s="215" t="s">
        <v>9</v>
      </c>
    </row>
    <row r="3" spans="1:32">
      <c r="A3" s="210" t="s">
        <v>14</v>
      </c>
      <c r="B3" s="210">
        <f>'P&amp;L new format'!R47</f>
        <v>1481</v>
      </c>
      <c r="C3" s="210" t="e">
        <f>'P&amp;L new format'!#REF!</f>
        <v>#REF!</v>
      </c>
      <c r="D3" s="210">
        <v>1299</v>
      </c>
      <c r="E3" s="210" t="e">
        <f>'P&amp;L new format'!#REF!</f>
        <v>#REF!</v>
      </c>
      <c r="F3" s="210">
        <f>'P&amp;L new format'!L47</f>
        <v>1426</v>
      </c>
      <c r="L3" s="210">
        <f>SUM(H3:K3)</f>
        <v>0</v>
      </c>
      <c r="N3" s="210">
        <f>B3+L3</f>
        <v>1481</v>
      </c>
      <c r="O3" s="210" t="e">
        <f>C3</f>
        <v>#REF!</v>
      </c>
      <c r="P3" s="210">
        <f t="shared" ref="P3:R3" si="0">D3</f>
        <v>1299</v>
      </c>
      <c r="Q3" s="210" t="e">
        <f t="shared" si="0"/>
        <v>#REF!</v>
      </c>
      <c r="R3" s="210">
        <f t="shared" si="0"/>
        <v>1426</v>
      </c>
      <c r="T3" s="212" t="e">
        <f>N3/O3-1</f>
        <v>#REF!</v>
      </c>
      <c r="U3" s="212">
        <f>N3/P3-1</f>
        <v>0.14010777521170126</v>
      </c>
      <c r="V3" s="212" t="e">
        <f>N3/Q3-1</f>
        <v>#REF!</v>
      </c>
      <c r="W3" s="212">
        <f>N3/R3-1</f>
        <v>3.8569424964936871E-2</v>
      </c>
    </row>
    <row r="4" spans="1:32">
      <c r="A4" s="210" t="s">
        <v>15</v>
      </c>
      <c r="B4" s="210">
        <f>'P&amp;L new format'!R48</f>
        <v>592</v>
      </c>
      <c r="C4" s="210" t="e">
        <f>'P&amp;L new format'!#REF!</f>
        <v>#REF!</v>
      </c>
      <c r="D4" s="210">
        <v>560</v>
      </c>
      <c r="E4" s="210" t="e">
        <f>'P&amp;L new format'!#REF!</f>
        <v>#REF!</v>
      </c>
      <c r="F4" s="210">
        <f>'P&amp;L new format'!L48</f>
        <v>598</v>
      </c>
      <c r="K4" s="210">
        <v>6</v>
      </c>
      <c r="L4" s="210">
        <f>SUM(H4:K4)</f>
        <v>6</v>
      </c>
      <c r="N4" s="210">
        <f>B4+L4</f>
        <v>598</v>
      </c>
      <c r="O4" s="210" t="e">
        <f>C4</f>
        <v>#REF!</v>
      </c>
      <c r="P4" s="210">
        <f t="shared" ref="P4" si="1">D4</f>
        <v>560</v>
      </c>
      <c r="Q4" s="210" t="e">
        <f t="shared" ref="Q4" si="2">E4</f>
        <v>#REF!</v>
      </c>
      <c r="R4" s="210">
        <f t="shared" ref="R4" si="3">F4</f>
        <v>598</v>
      </c>
      <c r="T4" s="212" t="e">
        <f>N4/O4-1</f>
        <v>#REF!</v>
      </c>
      <c r="U4" s="212">
        <f>N4/P4-1</f>
        <v>6.7857142857142838E-2</v>
      </c>
      <c r="V4" s="212" t="e">
        <f>N4/Q4-1</f>
        <v>#REF!</v>
      </c>
      <c r="W4" s="212">
        <f>N4/R4-1</f>
        <v>0</v>
      </c>
      <c r="X4" s="210" t="s">
        <v>16</v>
      </c>
    </row>
    <row r="5" spans="1:32">
      <c r="A5" s="210" t="s">
        <v>17</v>
      </c>
      <c r="B5" s="218">
        <f>B4/B3</f>
        <v>0.39972991222147197</v>
      </c>
      <c r="C5" s="212" t="e">
        <f t="shared" ref="C5:D5" si="4">C4/C3</f>
        <v>#REF!</v>
      </c>
      <c r="D5" s="212">
        <f t="shared" si="4"/>
        <v>0.43110084680523481</v>
      </c>
      <c r="E5" s="212" t="e">
        <f>E4/E3</f>
        <v>#REF!</v>
      </c>
      <c r="F5" s="212">
        <f>F4/F3</f>
        <v>0.41935483870967744</v>
      </c>
      <c r="H5" s="218"/>
      <c r="I5" s="212"/>
      <c r="J5" s="212"/>
      <c r="K5" s="212"/>
      <c r="L5" s="212"/>
      <c r="N5" s="218">
        <f>N4/N3</f>
        <v>0.40378122889939227</v>
      </c>
      <c r="O5" s="212" t="e">
        <f t="shared" ref="O5" si="5">O4/O3</f>
        <v>#REF!</v>
      </c>
      <c r="P5" s="212">
        <f t="shared" ref="P5" si="6">P4/P3</f>
        <v>0.43110084680523481</v>
      </c>
      <c r="Q5" s="212" t="e">
        <f>Q4/Q3</f>
        <v>#REF!</v>
      </c>
      <c r="R5" s="212">
        <f>R4/R3</f>
        <v>0.41935483870967744</v>
      </c>
      <c r="X5" s="217" t="s">
        <v>18</v>
      </c>
      <c r="AA5" s="217" t="s">
        <v>19</v>
      </c>
      <c r="AC5" s="210" t="s">
        <v>20</v>
      </c>
    </row>
    <row r="6" spans="1:32">
      <c r="A6" s="210" t="s">
        <v>21</v>
      </c>
      <c r="B6" s="210">
        <f>'P&amp;L new format'!R50</f>
        <v>346</v>
      </c>
      <c r="C6" s="210" t="e">
        <f>'P&amp;L new format'!#REF!</f>
        <v>#REF!</v>
      </c>
      <c r="D6" s="210">
        <v>330</v>
      </c>
      <c r="E6" s="210" t="e">
        <f>'P&amp;L new format'!#REF!</f>
        <v>#REF!</v>
      </c>
      <c r="F6" s="210">
        <f>'P&amp;L new format'!L50</f>
        <v>302</v>
      </c>
      <c r="H6" s="210">
        <v>5</v>
      </c>
      <c r="I6" s="210">
        <v>-30</v>
      </c>
      <c r="L6" s="210">
        <f>SUM(H6:K6)</f>
        <v>-25</v>
      </c>
      <c r="N6" s="210">
        <f>B6+L6</f>
        <v>321</v>
      </c>
      <c r="O6" s="210" t="e">
        <f>C6</f>
        <v>#REF!</v>
      </c>
      <c r="P6" s="210">
        <f t="shared" ref="P6" si="7">D6</f>
        <v>330</v>
      </c>
      <c r="Q6" s="210" t="e">
        <f t="shared" ref="Q6" si="8">E6</f>
        <v>#REF!</v>
      </c>
      <c r="R6" s="210">
        <f t="shared" ref="R6" si="9">F6</f>
        <v>302</v>
      </c>
      <c r="T6" s="212" t="e">
        <f t="shared" ref="T6:T7" si="10">N6/O6-1</f>
        <v>#REF!</v>
      </c>
      <c r="U6" s="212">
        <f t="shared" ref="U6:U7" si="11">N6/P6-1</f>
        <v>-2.7272727272727226E-2</v>
      </c>
      <c r="V6" s="212" t="e">
        <f t="shared" ref="V6:V7" si="12">N6/Q6-1</f>
        <v>#REF!</v>
      </c>
      <c r="W6" s="212">
        <f t="shared" ref="W6:W7" si="13">N6/R6-1</f>
        <v>6.29139072847682E-2</v>
      </c>
      <c r="X6" s="217" t="s">
        <v>22</v>
      </c>
      <c r="AB6" s="210" t="s">
        <v>23</v>
      </c>
      <c r="AD6" s="218">
        <f>N6/R6-1</f>
        <v>6.29139072847682E-2</v>
      </c>
      <c r="AF6" s="210" t="s">
        <v>24</v>
      </c>
    </row>
    <row r="7" spans="1:32">
      <c r="A7" s="216" t="s">
        <v>25</v>
      </c>
      <c r="B7" s="216">
        <f>B4-B6</f>
        <v>246</v>
      </c>
      <c r="C7" s="216" t="e">
        <f t="shared" ref="C7:D7" si="14">C4-C6</f>
        <v>#REF!</v>
      </c>
      <c r="D7" s="216">
        <f t="shared" si="14"/>
        <v>230</v>
      </c>
      <c r="E7" s="216" t="e">
        <f>E4-E6</f>
        <v>#REF!</v>
      </c>
      <c r="F7" s="216">
        <f>F4-F6</f>
        <v>296</v>
      </c>
      <c r="H7" s="216">
        <f t="shared" ref="H7:K7" si="15">H4-H6</f>
        <v>-5</v>
      </c>
      <c r="I7" s="216">
        <f t="shared" si="15"/>
        <v>30</v>
      </c>
      <c r="J7" s="216">
        <f t="shared" si="15"/>
        <v>0</v>
      </c>
      <c r="K7" s="216">
        <f t="shared" si="15"/>
        <v>6</v>
      </c>
      <c r="L7" s="216">
        <f>L4-L6</f>
        <v>31</v>
      </c>
      <c r="N7" s="216">
        <f>N4-N6</f>
        <v>277</v>
      </c>
      <c r="O7" s="216" t="e">
        <f t="shared" ref="O7" si="16">O4-O6</f>
        <v>#REF!</v>
      </c>
      <c r="P7" s="216">
        <f t="shared" ref="P7" si="17">P4-P6</f>
        <v>230</v>
      </c>
      <c r="Q7" s="216" t="e">
        <f>Q4-Q6</f>
        <v>#REF!</v>
      </c>
      <c r="R7" s="216">
        <f>R4-R6</f>
        <v>296</v>
      </c>
      <c r="T7" s="212" t="e">
        <f t="shared" si="10"/>
        <v>#REF!</v>
      </c>
      <c r="U7" s="212">
        <f t="shared" si="11"/>
        <v>0.20434782608695645</v>
      </c>
      <c r="V7" s="212" t="e">
        <f t="shared" si="12"/>
        <v>#REF!</v>
      </c>
      <c r="W7" s="212">
        <f t="shared" si="13"/>
        <v>-6.4189189189189144E-2</v>
      </c>
    </row>
    <row r="8" spans="1:32">
      <c r="A8" s="210" t="s">
        <v>26</v>
      </c>
      <c r="B8" s="212">
        <f>B7/B3</f>
        <v>0.16610398379473329</v>
      </c>
      <c r="C8" s="212" t="e">
        <f t="shared" ref="C8:D8" si="18">C7/C3</f>
        <v>#REF!</v>
      </c>
      <c r="D8" s="212">
        <f t="shared" si="18"/>
        <v>0.17705927636643573</v>
      </c>
      <c r="E8" s="212" t="e">
        <f>E7/E3</f>
        <v>#REF!</v>
      </c>
      <c r="F8" s="212">
        <f>F7/F3</f>
        <v>0.20757363253856942</v>
      </c>
      <c r="H8" s="212"/>
      <c r="I8" s="212"/>
      <c r="J8" s="212"/>
      <c r="K8" s="212"/>
      <c r="L8" s="212"/>
      <c r="N8" s="212">
        <f>N7/N3</f>
        <v>0.18703578663065495</v>
      </c>
      <c r="O8" s="212" t="e">
        <f t="shared" ref="O8" si="19">O7/O3</f>
        <v>#REF!</v>
      </c>
      <c r="P8" s="212">
        <f t="shared" ref="P8" si="20">P7/P3</f>
        <v>0.17705927636643573</v>
      </c>
      <c r="Q8" s="212" t="e">
        <f>Q7/Q3</f>
        <v>#REF!</v>
      </c>
      <c r="R8" s="212">
        <f>R7/R3</f>
        <v>0.20757363253856942</v>
      </c>
    </row>
    <row r="10" spans="1:32">
      <c r="A10" s="214" t="s">
        <v>27</v>
      </c>
      <c r="B10" s="215" t="s">
        <v>5</v>
      </c>
      <c r="C10" s="215" t="s">
        <v>6</v>
      </c>
      <c r="D10" s="215" t="s">
        <v>7</v>
      </c>
      <c r="E10" s="215" t="s">
        <v>8</v>
      </c>
      <c r="F10" s="215" t="s">
        <v>9</v>
      </c>
      <c r="H10" s="215" t="str">
        <f>H2</f>
        <v>LTIP</v>
      </c>
      <c r="I10" s="215" t="str">
        <f>I2</f>
        <v>Cap R&amp;D</v>
      </c>
      <c r="J10" s="215">
        <f t="shared" ref="J10:K10" si="21">J2</f>
        <v>0</v>
      </c>
      <c r="K10" s="215" t="str">
        <f t="shared" si="21"/>
        <v>Reserve</v>
      </c>
      <c r="L10" s="215" t="s">
        <v>13</v>
      </c>
      <c r="N10" s="215" t="s">
        <v>5</v>
      </c>
      <c r="O10" s="215" t="s">
        <v>6</v>
      </c>
      <c r="P10" s="215" t="s">
        <v>7</v>
      </c>
      <c r="Q10" s="215" t="s">
        <v>8</v>
      </c>
      <c r="R10" s="215" t="s">
        <v>9</v>
      </c>
    </row>
    <row r="11" spans="1:32">
      <c r="A11" s="210" t="s">
        <v>14</v>
      </c>
      <c r="B11" s="210">
        <f>'P&amp;L new format'!R64</f>
        <v>631</v>
      </c>
      <c r="C11" s="210" t="e">
        <f>'P&amp;L new format'!#REF!</f>
        <v>#REF!</v>
      </c>
      <c r="D11" s="210">
        <v>536</v>
      </c>
      <c r="E11" s="210" t="e">
        <f>'P&amp;L new format'!#REF!</f>
        <v>#REF!</v>
      </c>
      <c r="F11" s="210">
        <f>'P&amp;L new format'!L64</f>
        <v>438</v>
      </c>
      <c r="L11" s="210">
        <f>SUM(H11:K11)</f>
        <v>0</v>
      </c>
      <c r="N11" s="210">
        <f>B11+L11</f>
        <v>631</v>
      </c>
      <c r="O11" s="210" t="e">
        <f>C11</f>
        <v>#REF!</v>
      </c>
      <c r="P11" s="210">
        <f t="shared" ref="P11:P12" si="22">D11</f>
        <v>536</v>
      </c>
      <c r="Q11" s="210" t="e">
        <f t="shared" ref="Q11:Q12" si="23">E11</f>
        <v>#REF!</v>
      </c>
      <c r="R11" s="210">
        <f t="shared" ref="R11:R12" si="24">F11</f>
        <v>438</v>
      </c>
      <c r="T11" s="212" t="e">
        <f>N11/O11-1</f>
        <v>#REF!</v>
      </c>
      <c r="U11" s="212">
        <f>N11/P11-1</f>
        <v>0.17723880597014929</v>
      </c>
      <c r="V11" s="212" t="e">
        <f>N11/Q11-1</f>
        <v>#REF!</v>
      </c>
      <c r="W11" s="212">
        <f>N11/R11-1</f>
        <v>0.44063926940639275</v>
      </c>
      <c r="X11" s="210" t="s">
        <v>28</v>
      </c>
      <c r="Y11" s="210">
        <f>0.7*'P&amp;L new format'!Q107</f>
        <v>569.09999999999991</v>
      </c>
    </row>
    <row r="12" spans="1:32">
      <c r="A12" s="210" t="s">
        <v>15</v>
      </c>
      <c r="B12" s="210">
        <f>'P&amp;L new format'!R65</f>
        <v>338</v>
      </c>
      <c r="C12" s="210" t="e">
        <f>'P&amp;L new format'!#REF!</f>
        <v>#REF!</v>
      </c>
      <c r="D12" s="210">
        <v>284</v>
      </c>
      <c r="E12" s="210" t="e">
        <f>'P&amp;L new format'!#REF!</f>
        <v>#REF!</v>
      </c>
      <c r="F12" s="210">
        <f>'P&amp;L new format'!L65</f>
        <v>237</v>
      </c>
      <c r="L12" s="210">
        <f>SUM(H12:K12)</f>
        <v>0</v>
      </c>
      <c r="N12" s="210">
        <f>B12+L12</f>
        <v>338</v>
      </c>
      <c r="O12" s="210" t="e">
        <f>C12</f>
        <v>#REF!</v>
      </c>
      <c r="P12" s="210">
        <f t="shared" si="22"/>
        <v>284</v>
      </c>
      <c r="Q12" s="210" t="e">
        <f t="shared" si="23"/>
        <v>#REF!</v>
      </c>
      <c r="R12" s="210">
        <f t="shared" si="24"/>
        <v>237</v>
      </c>
      <c r="T12" s="212" t="e">
        <f>N12/O12-1</f>
        <v>#REF!</v>
      </c>
      <c r="U12" s="212">
        <f>N12/P12-1</f>
        <v>0.1901408450704225</v>
      </c>
      <c r="V12" s="212" t="e">
        <f>N12/Q12-1</f>
        <v>#REF!</v>
      </c>
      <c r="W12" s="212">
        <f>N12/R12-1</f>
        <v>0.42616033755274252</v>
      </c>
    </row>
    <row r="13" spans="1:32">
      <c r="A13" s="210" t="s">
        <v>17</v>
      </c>
      <c r="B13" s="212">
        <f>B12/B11</f>
        <v>0.53565768621236132</v>
      </c>
      <c r="C13" s="212" t="e">
        <f t="shared" ref="C13" si="25">C12/C11</f>
        <v>#REF!</v>
      </c>
      <c r="D13" s="212">
        <f t="shared" ref="D13" si="26">D12/D11</f>
        <v>0.52985074626865669</v>
      </c>
      <c r="E13" s="212" t="e">
        <f t="shared" ref="E13:F13" si="27">E12/E11</f>
        <v>#REF!</v>
      </c>
      <c r="F13" s="212">
        <f t="shared" si="27"/>
        <v>0.54109589041095896</v>
      </c>
      <c r="H13" s="212"/>
      <c r="I13" s="212"/>
      <c r="J13" s="212"/>
      <c r="K13" s="212"/>
      <c r="L13" s="212"/>
      <c r="N13" s="212">
        <f>N12/N11</f>
        <v>0.53565768621236132</v>
      </c>
      <c r="O13" s="212" t="e">
        <f t="shared" ref="O13" si="28">O12/O11</f>
        <v>#REF!</v>
      </c>
      <c r="P13" s="212">
        <f t="shared" ref="P13" si="29">P12/P11</f>
        <v>0.52985074626865669</v>
      </c>
      <c r="Q13" s="212" t="e">
        <f>Q12/Q11</f>
        <v>#REF!</v>
      </c>
      <c r="R13" s="212">
        <f>R12/R11</f>
        <v>0.54109589041095896</v>
      </c>
    </row>
    <row r="14" spans="1:32">
      <c r="A14" s="210" t="s">
        <v>21</v>
      </c>
      <c r="B14" s="210">
        <f>'P&amp;L new format'!R67</f>
        <v>160</v>
      </c>
      <c r="C14" s="210" t="e">
        <f>'P&amp;L new format'!#REF!</f>
        <v>#REF!</v>
      </c>
      <c r="D14" s="210">
        <v>160</v>
      </c>
      <c r="E14" s="210" t="e">
        <f>'P&amp;L new format'!#REF!</f>
        <v>#REF!</v>
      </c>
      <c r="F14" s="210">
        <f>'P&amp;L new format'!L67</f>
        <v>135</v>
      </c>
      <c r="H14" s="210">
        <v>5</v>
      </c>
      <c r="I14" s="210">
        <v>-3</v>
      </c>
      <c r="L14" s="210">
        <f>SUM(H14:K14)</f>
        <v>2</v>
      </c>
      <c r="N14" s="210">
        <f>B14+L14</f>
        <v>162</v>
      </c>
      <c r="O14" s="210" t="e">
        <f>C14</f>
        <v>#REF!</v>
      </c>
      <c r="P14" s="210">
        <f t="shared" ref="P14" si="30">D14</f>
        <v>160</v>
      </c>
      <c r="Q14" s="210" t="e">
        <f t="shared" ref="Q14" si="31">E14</f>
        <v>#REF!</v>
      </c>
      <c r="R14" s="210">
        <f t="shared" ref="R14" si="32">F14</f>
        <v>135</v>
      </c>
      <c r="T14" s="212" t="e">
        <f t="shared" ref="T14:T15" si="33">N14/O14-1</f>
        <v>#REF!</v>
      </c>
      <c r="U14" s="212">
        <f t="shared" ref="U14:U15" si="34">N14/P14-1</f>
        <v>1.2499999999999956E-2</v>
      </c>
      <c r="V14" s="212" t="e">
        <f t="shared" ref="V14:V15" si="35">N14/Q14-1</f>
        <v>#REF!</v>
      </c>
      <c r="W14" s="212">
        <f t="shared" ref="W14:W15" si="36">N14/R14-1</f>
        <v>0.19999999999999996</v>
      </c>
    </row>
    <row r="15" spans="1:32">
      <c r="A15" s="216" t="s">
        <v>25</v>
      </c>
      <c r="B15" s="216">
        <f>B12-B14</f>
        <v>178</v>
      </c>
      <c r="C15" s="216" t="e">
        <f t="shared" ref="C15" si="37">C12-C14</f>
        <v>#REF!</v>
      </c>
      <c r="D15" s="216">
        <f t="shared" ref="D15" si="38">D12-D14</f>
        <v>124</v>
      </c>
      <c r="E15" s="216" t="e">
        <f t="shared" ref="E15:F15" si="39">E12-E14</f>
        <v>#REF!</v>
      </c>
      <c r="F15" s="216">
        <f t="shared" si="39"/>
        <v>102</v>
      </c>
      <c r="H15" s="216">
        <f>H12-H14</f>
        <v>-5</v>
      </c>
      <c r="I15" s="216">
        <f t="shared" ref="I15:K15" si="40">I12-I14</f>
        <v>3</v>
      </c>
      <c r="J15" s="216">
        <f t="shared" si="40"/>
        <v>0</v>
      </c>
      <c r="K15" s="216">
        <f t="shared" si="40"/>
        <v>0</v>
      </c>
      <c r="L15" s="216">
        <f>L12-L14</f>
        <v>-2</v>
      </c>
      <c r="N15" s="216">
        <f>N12-N14</f>
        <v>176</v>
      </c>
      <c r="O15" s="216" t="e">
        <f t="shared" ref="O15" si="41">O12-O14</f>
        <v>#REF!</v>
      </c>
      <c r="P15" s="216">
        <f t="shared" ref="P15" si="42">P12-P14</f>
        <v>124</v>
      </c>
      <c r="Q15" s="216" t="e">
        <f>Q12-Q14</f>
        <v>#REF!</v>
      </c>
      <c r="R15" s="216">
        <f>R12-R14</f>
        <v>102</v>
      </c>
      <c r="T15" s="212" t="e">
        <f t="shared" si="33"/>
        <v>#REF!</v>
      </c>
      <c r="U15" s="212">
        <f t="shared" si="34"/>
        <v>0.41935483870967749</v>
      </c>
      <c r="V15" s="212" t="e">
        <f t="shared" si="35"/>
        <v>#REF!</v>
      </c>
      <c r="W15" s="212">
        <f t="shared" si="36"/>
        <v>0.72549019607843146</v>
      </c>
    </row>
    <row r="16" spans="1:32">
      <c r="A16" s="210" t="s">
        <v>26</v>
      </c>
      <c r="B16" s="212">
        <f>B15/B11</f>
        <v>0.28209191759112517</v>
      </c>
      <c r="C16" s="212" t="e">
        <f t="shared" ref="C16" si="43">C15/C11</f>
        <v>#REF!</v>
      </c>
      <c r="D16" s="212">
        <f t="shared" ref="D16" si="44">D15/D11</f>
        <v>0.23134328358208955</v>
      </c>
      <c r="E16" s="212" t="e">
        <f t="shared" ref="E16:F16" si="45">E15/E11</f>
        <v>#REF!</v>
      </c>
      <c r="F16" s="212">
        <f t="shared" si="45"/>
        <v>0.23287671232876711</v>
      </c>
      <c r="H16" s="212"/>
      <c r="I16" s="212"/>
      <c r="J16" s="212"/>
      <c r="K16" s="212"/>
      <c r="L16" s="212"/>
      <c r="N16" s="212">
        <f>N15/N11</f>
        <v>0.27892234548335976</v>
      </c>
      <c r="O16" s="212" t="e">
        <f t="shared" ref="O16" si="46">O15/O11</f>
        <v>#REF!</v>
      </c>
      <c r="P16" s="212">
        <f t="shared" ref="P16" si="47">P15/P11</f>
        <v>0.23134328358208955</v>
      </c>
      <c r="Q16" s="212" t="e">
        <f>Q15/Q11</f>
        <v>#REF!</v>
      </c>
      <c r="R16" s="212">
        <f>R15/R11</f>
        <v>0.23287671232876711</v>
      </c>
    </row>
    <row r="18" spans="1:25">
      <c r="A18" s="214" t="s">
        <v>29</v>
      </c>
      <c r="B18" s="215" t="s">
        <v>5</v>
      </c>
      <c r="C18" s="215" t="s">
        <v>6</v>
      </c>
      <c r="D18" s="215" t="s">
        <v>7</v>
      </c>
      <c r="E18" s="215" t="s">
        <v>8</v>
      </c>
      <c r="F18" s="215" t="s">
        <v>9</v>
      </c>
      <c r="H18" s="215" t="str">
        <f>H10</f>
        <v>LTIP</v>
      </c>
      <c r="I18" s="215" t="str">
        <f>I10</f>
        <v>Cap R&amp;D</v>
      </c>
      <c r="J18" s="215">
        <f t="shared" ref="J18:K18" si="48">J10</f>
        <v>0</v>
      </c>
      <c r="K18" s="215" t="str">
        <f t="shared" si="48"/>
        <v>Reserve</v>
      </c>
      <c r="L18" s="215" t="s">
        <v>13</v>
      </c>
      <c r="N18" s="215" t="s">
        <v>5</v>
      </c>
      <c r="O18" s="215" t="s">
        <v>6</v>
      </c>
      <c r="P18" s="215" t="s">
        <v>7</v>
      </c>
      <c r="Q18" s="215" t="s">
        <v>8</v>
      </c>
      <c r="R18" s="215" t="s">
        <v>9</v>
      </c>
    </row>
    <row r="19" spans="1:25">
      <c r="A19" s="210" t="s">
        <v>14</v>
      </c>
      <c r="B19" s="210">
        <f>'P&amp;L new format'!R81</f>
        <v>938</v>
      </c>
      <c r="C19" s="210" t="e">
        <f>'P&amp;L new format'!#REF!</f>
        <v>#REF!</v>
      </c>
      <c r="D19" s="210">
        <v>930</v>
      </c>
      <c r="E19" s="210" t="e">
        <f>'P&amp;L new format'!#REF!</f>
        <v>#REF!</v>
      </c>
      <c r="F19" s="210">
        <f>'P&amp;L new format'!L81</f>
        <v>878</v>
      </c>
      <c r="L19" s="210">
        <f>SUM(H19:K19)</f>
        <v>0</v>
      </c>
      <c r="N19" s="210">
        <f>B19+L19</f>
        <v>938</v>
      </c>
      <c r="O19" s="210" t="e">
        <f>C19</f>
        <v>#REF!</v>
      </c>
      <c r="P19" s="210">
        <f t="shared" ref="P19:P20" si="49">D19</f>
        <v>930</v>
      </c>
      <c r="Q19" s="210" t="e">
        <f t="shared" ref="Q19:Q20" si="50">E19</f>
        <v>#REF!</v>
      </c>
      <c r="R19" s="210">
        <f t="shared" ref="R19:R20" si="51">F19</f>
        <v>878</v>
      </c>
      <c r="T19" s="212" t="e">
        <f>N19/O19-1</f>
        <v>#REF!</v>
      </c>
      <c r="U19" s="212">
        <f>N19/P19-1</f>
        <v>8.6021505376343566E-3</v>
      </c>
      <c r="V19" s="212" t="e">
        <f>N19/Q19-1</f>
        <v>#REF!</v>
      </c>
      <c r="W19" s="212">
        <f>N19/R19-1</f>
        <v>6.8337129840546629E-2</v>
      </c>
      <c r="X19" s="210" t="s">
        <v>28</v>
      </c>
      <c r="Y19" s="210">
        <f>0.75*'P&amp;L new format'!Q112</f>
        <v>906.75</v>
      </c>
    </row>
    <row r="20" spans="1:25">
      <c r="A20" s="210" t="s">
        <v>15</v>
      </c>
      <c r="B20" s="210">
        <f>'P&amp;L new format'!R82</f>
        <v>399</v>
      </c>
      <c r="C20" s="210" t="e">
        <f>'P&amp;L new format'!#REF!</f>
        <v>#REF!</v>
      </c>
      <c r="D20" s="210">
        <v>408</v>
      </c>
      <c r="E20" s="210" t="e">
        <f>'P&amp;L new format'!#REF!</f>
        <v>#REF!</v>
      </c>
      <c r="F20" s="210">
        <f>'P&amp;L new format'!L82</f>
        <v>386</v>
      </c>
      <c r="L20" s="210">
        <f>SUM(H20:K20)</f>
        <v>0</v>
      </c>
      <c r="N20" s="210">
        <f>B20+L20</f>
        <v>399</v>
      </c>
      <c r="O20" s="210" t="e">
        <f>C20</f>
        <v>#REF!</v>
      </c>
      <c r="P20" s="210">
        <f t="shared" si="49"/>
        <v>408</v>
      </c>
      <c r="Q20" s="210" t="e">
        <f t="shared" si="50"/>
        <v>#REF!</v>
      </c>
      <c r="R20" s="210">
        <f t="shared" si="51"/>
        <v>386</v>
      </c>
      <c r="T20" s="212" t="e">
        <f>N20/O20-1</f>
        <v>#REF!</v>
      </c>
      <c r="U20" s="212">
        <f>N20/P20-1</f>
        <v>-2.2058823529411797E-2</v>
      </c>
      <c r="V20" s="212" t="e">
        <f>N20/Q20-1</f>
        <v>#REF!</v>
      </c>
      <c r="W20" s="212">
        <f>N20/R20-1</f>
        <v>3.3678756476683835E-2</v>
      </c>
    </row>
    <row r="21" spans="1:25">
      <c r="A21" s="210" t="s">
        <v>17</v>
      </c>
      <c r="B21" s="212">
        <f>B20/B19</f>
        <v>0.42537313432835822</v>
      </c>
      <c r="C21" s="212" t="e">
        <f t="shared" ref="C21" si="52">C20/C19</f>
        <v>#REF!</v>
      </c>
      <c r="D21" s="212">
        <f t="shared" ref="D21" si="53">D20/D19</f>
        <v>0.43870967741935485</v>
      </c>
      <c r="E21" s="212" t="e">
        <f t="shared" ref="E21:F21" si="54">E20/E19</f>
        <v>#REF!</v>
      </c>
      <c r="F21" s="212">
        <f t="shared" si="54"/>
        <v>0.43963553530751709</v>
      </c>
      <c r="H21" s="212"/>
      <c r="I21" s="212"/>
      <c r="J21" s="212"/>
      <c r="K21" s="212"/>
      <c r="L21" s="212"/>
      <c r="N21" s="212">
        <f>N20/N19</f>
        <v>0.42537313432835822</v>
      </c>
      <c r="O21" s="212" t="e">
        <f t="shared" ref="O21" si="55">O20/O19</f>
        <v>#REF!</v>
      </c>
      <c r="P21" s="212">
        <f t="shared" ref="P21" si="56">P20/P19</f>
        <v>0.43870967741935485</v>
      </c>
      <c r="Q21" s="212" t="e">
        <f>Q20/Q19</f>
        <v>#REF!</v>
      </c>
      <c r="R21" s="212">
        <f>R20/R19</f>
        <v>0.43963553530751709</v>
      </c>
    </row>
    <row r="22" spans="1:25">
      <c r="A22" s="210" t="s">
        <v>21</v>
      </c>
      <c r="B22" s="210">
        <f>'P&amp;L new format'!R84</f>
        <v>254</v>
      </c>
      <c r="C22" s="210" t="e">
        <f>'P&amp;L new format'!#REF!</f>
        <v>#REF!</v>
      </c>
      <c r="D22" s="210">
        <v>296</v>
      </c>
      <c r="E22" s="210" t="e">
        <f>'P&amp;L new format'!#REF!</f>
        <v>#REF!</v>
      </c>
      <c r="F22" s="210">
        <f>'P&amp;L new format'!L84</f>
        <v>254</v>
      </c>
      <c r="H22" s="210">
        <v>5</v>
      </c>
      <c r="L22" s="210">
        <f>SUM(H22:K22)</f>
        <v>5</v>
      </c>
      <c r="N22" s="210">
        <f>B22+L22</f>
        <v>259</v>
      </c>
      <c r="O22" s="210" t="e">
        <f>C22</f>
        <v>#REF!</v>
      </c>
      <c r="P22" s="210">
        <f t="shared" ref="P22" si="57">D22</f>
        <v>296</v>
      </c>
      <c r="Q22" s="210" t="e">
        <f t="shared" ref="Q22" si="58">E22</f>
        <v>#REF!</v>
      </c>
      <c r="R22" s="210">
        <f t="shared" ref="R22" si="59">F22</f>
        <v>254</v>
      </c>
      <c r="T22" s="212" t="e">
        <f t="shared" ref="T22:T23" si="60">N22/O22-1</f>
        <v>#REF!</v>
      </c>
      <c r="U22" s="212">
        <f t="shared" ref="U22:U23" si="61">N22/P22-1</f>
        <v>-0.125</v>
      </c>
      <c r="V22" s="212" t="e">
        <f t="shared" ref="V22:V23" si="62">N22/Q22-1</f>
        <v>#REF!</v>
      </c>
      <c r="W22" s="212">
        <f t="shared" ref="W22:W23" si="63">N22/R22-1</f>
        <v>1.9685039370078705E-2</v>
      </c>
    </row>
    <row r="23" spans="1:25">
      <c r="A23" s="216" t="s">
        <v>25</v>
      </c>
      <c r="B23" s="216">
        <f>B20-B22</f>
        <v>145</v>
      </c>
      <c r="C23" s="216" t="e">
        <f t="shared" ref="C23" si="64">C20-C22</f>
        <v>#REF!</v>
      </c>
      <c r="D23" s="216">
        <f t="shared" ref="D23" si="65">D20-D22</f>
        <v>112</v>
      </c>
      <c r="E23" s="216" t="e">
        <f t="shared" ref="E23:F23" si="66">E20-E22</f>
        <v>#REF!</v>
      </c>
      <c r="F23" s="216">
        <f t="shared" si="66"/>
        <v>132</v>
      </c>
      <c r="H23" s="216">
        <f>H20-H22</f>
        <v>-5</v>
      </c>
      <c r="I23" s="216">
        <f t="shared" ref="I23:K23" si="67">I20-I22</f>
        <v>0</v>
      </c>
      <c r="J23" s="216">
        <f t="shared" si="67"/>
        <v>0</v>
      </c>
      <c r="K23" s="216">
        <f t="shared" si="67"/>
        <v>0</v>
      </c>
      <c r="L23" s="216">
        <f>L20-L22</f>
        <v>-5</v>
      </c>
      <c r="N23" s="216">
        <f>N20-N22</f>
        <v>140</v>
      </c>
      <c r="O23" s="216" t="e">
        <f t="shared" ref="O23" si="68">O20-O22</f>
        <v>#REF!</v>
      </c>
      <c r="P23" s="216">
        <f t="shared" ref="P23" si="69">P20-P22</f>
        <v>112</v>
      </c>
      <c r="Q23" s="216" t="e">
        <f>Q20-Q22</f>
        <v>#REF!</v>
      </c>
      <c r="R23" s="216">
        <f>R20-R22</f>
        <v>132</v>
      </c>
      <c r="T23" s="212" t="e">
        <f t="shared" si="60"/>
        <v>#REF!</v>
      </c>
      <c r="U23" s="212">
        <f t="shared" si="61"/>
        <v>0.25</v>
      </c>
      <c r="V23" s="212" t="e">
        <f t="shared" si="62"/>
        <v>#REF!</v>
      </c>
      <c r="W23" s="212">
        <f t="shared" si="63"/>
        <v>6.0606060606060552E-2</v>
      </c>
    </row>
    <row r="24" spans="1:25">
      <c r="A24" s="210" t="s">
        <v>26</v>
      </c>
      <c r="B24" s="212">
        <f>B23/B19</f>
        <v>0.15458422174840086</v>
      </c>
      <c r="C24" s="212" t="e">
        <f t="shared" ref="C24" si="70">C23/C19</f>
        <v>#REF!</v>
      </c>
      <c r="D24" s="212">
        <f t="shared" ref="D24" si="71">D23/D19</f>
        <v>0.12043010752688173</v>
      </c>
      <c r="E24" s="212" t="e">
        <f t="shared" ref="E24:F24" si="72">E23/E19</f>
        <v>#REF!</v>
      </c>
      <c r="F24" s="212">
        <f t="shared" si="72"/>
        <v>0.15034168564920272</v>
      </c>
      <c r="H24" s="212"/>
      <c r="I24" s="212"/>
      <c r="J24" s="212"/>
      <c r="K24" s="212"/>
      <c r="L24" s="212"/>
      <c r="N24" s="212">
        <f>N23/N19</f>
        <v>0.14925373134328357</v>
      </c>
      <c r="O24" s="212" t="e">
        <f t="shared" ref="O24" si="73">O23/O19</f>
        <v>#REF!</v>
      </c>
      <c r="P24" s="212">
        <f t="shared" ref="P24" si="74">P23/P19</f>
        <v>0.12043010752688173</v>
      </c>
      <c r="Q24" s="212" t="e">
        <f>Q23/Q19</f>
        <v>#REF!</v>
      </c>
      <c r="R24" s="212">
        <f>R23/R19</f>
        <v>0.15034168564920272</v>
      </c>
    </row>
    <row r="26" spans="1:25">
      <c r="A26" s="214" t="s">
        <v>30</v>
      </c>
      <c r="B26" s="215" t="s">
        <v>5</v>
      </c>
      <c r="C26" s="215" t="s">
        <v>6</v>
      </c>
      <c r="D26" s="215" t="s">
        <v>7</v>
      </c>
      <c r="E26" s="215" t="s">
        <v>8</v>
      </c>
      <c r="F26" s="215" t="s">
        <v>9</v>
      </c>
      <c r="H26" s="215" t="str">
        <f>H18</f>
        <v>LTIP</v>
      </c>
      <c r="I26" s="215" t="str">
        <f>I18</f>
        <v>Cap R&amp;D</v>
      </c>
      <c r="J26" s="215">
        <f t="shared" ref="J26:K26" si="75">J18</f>
        <v>0</v>
      </c>
      <c r="K26" s="215" t="str">
        <f t="shared" si="75"/>
        <v>Reserve</v>
      </c>
      <c r="L26" s="215" t="s">
        <v>13</v>
      </c>
      <c r="N26" s="215" t="s">
        <v>5</v>
      </c>
      <c r="O26" s="215" t="s">
        <v>6</v>
      </c>
      <c r="P26" s="215" t="s">
        <v>7</v>
      </c>
      <c r="Q26" s="215" t="s">
        <v>8</v>
      </c>
      <c r="R26" s="215" t="s">
        <v>9</v>
      </c>
    </row>
    <row r="27" spans="1:25" hidden="1">
      <c r="A27" s="210" t="s">
        <v>14</v>
      </c>
      <c r="L27" s="210">
        <f>SUM(H27:K27)</f>
        <v>0</v>
      </c>
      <c r="T27" s="212"/>
      <c r="U27" s="212"/>
      <c r="V27" s="212"/>
      <c r="W27" s="212"/>
    </row>
    <row r="28" spans="1:25" hidden="1">
      <c r="A28" s="210" t="s">
        <v>15</v>
      </c>
      <c r="L28" s="210">
        <f>SUM(H28:K28)</f>
        <v>0</v>
      </c>
      <c r="T28" s="212"/>
      <c r="U28" s="212"/>
      <c r="V28" s="212"/>
      <c r="W28" s="212"/>
    </row>
    <row r="29" spans="1:25" hidden="1">
      <c r="A29" s="210" t="s">
        <v>17</v>
      </c>
      <c r="B29" s="212"/>
      <c r="C29" s="212"/>
      <c r="D29" s="212"/>
      <c r="E29" s="212"/>
      <c r="F29" s="212"/>
      <c r="H29" s="212"/>
      <c r="I29" s="212"/>
      <c r="J29" s="212"/>
      <c r="K29" s="212"/>
      <c r="L29" s="212"/>
      <c r="N29" s="212"/>
      <c r="O29" s="212"/>
      <c r="P29" s="212"/>
      <c r="Q29" s="212"/>
      <c r="R29" s="212"/>
    </row>
    <row r="30" spans="1:25">
      <c r="A30" s="210" t="s">
        <v>21</v>
      </c>
      <c r="B30" s="210">
        <f>'P&amp;L new format'!R95</f>
        <v>34</v>
      </c>
      <c r="C30" s="210" t="e">
        <f>'P&amp;L new format'!#REF!</f>
        <v>#REF!</v>
      </c>
      <c r="D30" s="210">
        <v>24</v>
      </c>
      <c r="E30" s="210" t="e">
        <f>'P&amp;L new format'!#REF!</f>
        <v>#REF!</v>
      </c>
      <c r="F30" s="210">
        <f>'P&amp;L new format'!L95</f>
        <v>25</v>
      </c>
      <c r="H30" s="210">
        <v>-15</v>
      </c>
      <c r="L30" s="210">
        <f>SUM(H30:K30)</f>
        <v>-15</v>
      </c>
      <c r="N30" s="210">
        <f>B30+L30</f>
        <v>19</v>
      </c>
      <c r="O30" s="210" t="e">
        <f>C30</f>
        <v>#REF!</v>
      </c>
      <c r="P30" s="210">
        <f t="shared" ref="P30" si="76">D30</f>
        <v>24</v>
      </c>
      <c r="Q30" s="210" t="e">
        <f t="shared" ref="Q30" si="77">E30</f>
        <v>#REF!</v>
      </c>
      <c r="R30" s="210">
        <f t="shared" ref="R30" si="78">F30</f>
        <v>25</v>
      </c>
      <c r="T30" s="212" t="e">
        <f t="shared" ref="T30:T31" si="79">N30/O30-1</f>
        <v>#REF!</v>
      </c>
      <c r="U30" s="212">
        <f t="shared" ref="U30:U31" si="80">N30/P30-1</f>
        <v>-0.20833333333333337</v>
      </c>
      <c r="V30" s="212" t="e">
        <f t="shared" ref="V30:V31" si="81">N30/Q30-1</f>
        <v>#REF!</v>
      </c>
      <c r="W30" s="212">
        <f t="shared" ref="W30:W31" si="82">N30/R30-1</f>
        <v>-0.24</v>
      </c>
      <c r="X30" s="210" t="s">
        <v>31</v>
      </c>
    </row>
    <row r="31" spans="1:25" hidden="1">
      <c r="A31" s="216" t="s">
        <v>25</v>
      </c>
      <c r="B31" s="216">
        <f>B28-B30</f>
        <v>-34</v>
      </c>
      <c r="C31" s="216" t="e">
        <f t="shared" ref="C31" si="83">C28-C30</f>
        <v>#REF!</v>
      </c>
      <c r="D31" s="216">
        <f t="shared" ref="D31" si="84">D28-D30</f>
        <v>-24</v>
      </c>
      <c r="E31" s="216" t="e">
        <f t="shared" ref="E31:F31" si="85">E28-E30</f>
        <v>#REF!</v>
      </c>
      <c r="F31" s="216">
        <f t="shared" si="85"/>
        <v>-25</v>
      </c>
      <c r="H31" s="216">
        <f>H28-H30</f>
        <v>15</v>
      </c>
      <c r="I31" s="216">
        <f t="shared" ref="I31:K31" si="86">I28-I30</f>
        <v>0</v>
      </c>
      <c r="J31" s="216">
        <f t="shared" si="86"/>
        <v>0</v>
      </c>
      <c r="K31" s="216">
        <f t="shared" si="86"/>
        <v>0</v>
      </c>
      <c r="L31" s="216">
        <f>L28-L30</f>
        <v>15</v>
      </c>
      <c r="N31" s="216">
        <f>N28-N30</f>
        <v>-19</v>
      </c>
      <c r="O31" s="216" t="e">
        <f t="shared" ref="O31" si="87">O28-O30</f>
        <v>#REF!</v>
      </c>
      <c r="P31" s="216">
        <f t="shared" ref="P31" si="88">P28-P30</f>
        <v>-24</v>
      </c>
      <c r="Q31" s="216" t="e">
        <f>Q28-Q30</f>
        <v>#REF!</v>
      </c>
      <c r="R31" s="216">
        <f>R28-R30</f>
        <v>-25</v>
      </c>
      <c r="T31" s="212" t="e">
        <f t="shared" si="79"/>
        <v>#REF!</v>
      </c>
      <c r="U31" s="212">
        <f t="shared" si="80"/>
        <v>-0.20833333333333337</v>
      </c>
      <c r="V31" s="212" t="e">
        <f t="shared" si="81"/>
        <v>#REF!</v>
      </c>
      <c r="W31" s="212">
        <f t="shared" si="82"/>
        <v>-0.24</v>
      </c>
    </row>
    <row r="32" spans="1:25" hidden="1">
      <c r="A32" s="210" t="s">
        <v>26</v>
      </c>
      <c r="B32" s="212"/>
      <c r="C32" s="212"/>
      <c r="D32" s="212"/>
      <c r="E32" s="212"/>
      <c r="F32" s="212"/>
      <c r="H32" s="212"/>
      <c r="I32" s="212"/>
      <c r="J32" s="212"/>
      <c r="K32" s="212"/>
      <c r="L32" s="212"/>
      <c r="N32" s="212"/>
      <c r="O32" s="212"/>
      <c r="P32" s="212"/>
      <c r="Q32" s="212"/>
      <c r="R32" s="212"/>
    </row>
    <row r="34" spans="1:24">
      <c r="A34" s="214" t="s">
        <v>32</v>
      </c>
      <c r="B34" s="215" t="s">
        <v>5</v>
      </c>
      <c r="C34" s="215" t="s">
        <v>6</v>
      </c>
      <c r="D34" s="215" t="s">
        <v>7</v>
      </c>
      <c r="E34" s="215" t="s">
        <v>8</v>
      </c>
      <c r="F34" s="215" t="s">
        <v>9</v>
      </c>
      <c r="H34" s="215" t="str">
        <f>H26</f>
        <v>LTIP</v>
      </c>
      <c r="I34" s="215" t="str">
        <f>I26</f>
        <v>Cap R&amp;D</v>
      </c>
      <c r="J34" s="215">
        <f t="shared" ref="J34:K34" si="89">J26</f>
        <v>0</v>
      </c>
      <c r="K34" s="215" t="str">
        <f t="shared" si="89"/>
        <v>Reserve</v>
      </c>
      <c r="L34" s="215" t="s">
        <v>13</v>
      </c>
      <c r="N34" s="215" t="s">
        <v>5</v>
      </c>
      <c r="O34" s="215" t="s">
        <v>6</v>
      </c>
      <c r="P34" s="215" t="s">
        <v>7</v>
      </c>
      <c r="Q34" s="215" t="s">
        <v>8</v>
      </c>
      <c r="R34" s="215" t="s">
        <v>9</v>
      </c>
    </row>
    <row r="35" spans="1:24">
      <c r="A35" s="210" t="s">
        <v>14</v>
      </c>
      <c r="B35" s="210">
        <f>B3+B11+B19+B27</f>
        <v>3050</v>
      </c>
      <c r="C35" s="210" t="e">
        <f t="shared" ref="C35:D38" si="90">C3+C11+C19+C27</f>
        <v>#REF!</v>
      </c>
      <c r="D35" s="210">
        <f t="shared" si="90"/>
        <v>2765</v>
      </c>
      <c r="E35" s="210" t="e">
        <f>E3+E11+E19+E27</f>
        <v>#REF!</v>
      </c>
      <c r="F35" s="210">
        <f>F3+F11+F19+F27</f>
        <v>2742</v>
      </c>
      <c r="H35" s="210">
        <f>H3+H11+H19+H27</f>
        <v>0</v>
      </c>
      <c r="I35" s="210">
        <f t="shared" ref="I35:J35" si="91">I3+I11+I19+I27</f>
        <v>0</v>
      </c>
      <c r="J35" s="210">
        <f t="shared" si="91"/>
        <v>0</v>
      </c>
      <c r="K35" s="210">
        <f>K3+K11+K19+K27</f>
        <v>0</v>
      </c>
      <c r="L35" s="210">
        <f>L3+L11+L19+L27</f>
        <v>0</v>
      </c>
      <c r="N35" s="210">
        <f>N3+N11+N19+N27</f>
        <v>3050</v>
      </c>
      <c r="O35" s="210" t="e">
        <f t="shared" ref="O35:P35" si="92">O3+O11+O19+O27</f>
        <v>#REF!</v>
      </c>
      <c r="P35" s="210">
        <f t="shared" si="92"/>
        <v>2765</v>
      </c>
      <c r="Q35" s="210" t="e">
        <f>Q3+Q11+Q19+Q27</f>
        <v>#REF!</v>
      </c>
      <c r="R35" s="210">
        <f>R3+R11+R19+R27</f>
        <v>2742</v>
      </c>
      <c r="T35" s="212" t="e">
        <f>N35/O35-1</f>
        <v>#REF!</v>
      </c>
      <c r="U35" s="212">
        <f>N35/P35-1</f>
        <v>0.10307414104882451</v>
      </c>
      <c r="V35" s="212" t="e">
        <f>N35/Q35-1</f>
        <v>#REF!</v>
      </c>
      <c r="W35" s="212">
        <f>N35/R35-1</f>
        <v>0.11232676878191095</v>
      </c>
    </row>
    <row r="36" spans="1:24">
      <c r="A36" s="210" t="s">
        <v>15</v>
      </c>
      <c r="B36" s="210">
        <f>B4+B12+B20+B28</f>
        <v>1329</v>
      </c>
      <c r="C36" s="210" t="e">
        <f t="shared" si="90"/>
        <v>#REF!</v>
      </c>
      <c r="D36" s="210">
        <f t="shared" si="90"/>
        <v>1252</v>
      </c>
      <c r="E36" s="210" t="e">
        <f>E4+E12+E20+E28</f>
        <v>#REF!</v>
      </c>
      <c r="F36" s="210">
        <f>F4+F12+F20+F28</f>
        <v>1221</v>
      </c>
      <c r="H36" s="210">
        <f>H4+H12+H20+H28</f>
        <v>0</v>
      </c>
      <c r="I36" s="210">
        <f t="shared" ref="I36:J36" si="93">I4+I12+I20+I28</f>
        <v>0</v>
      </c>
      <c r="J36" s="210">
        <f t="shared" si="93"/>
        <v>0</v>
      </c>
      <c r="K36" s="210">
        <f>K4+K12+K20+K28</f>
        <v>6</v>
      </c>
      <c r="L36" s="210">
        <f>L4+L12+L20+L28</f>
        <v>6</v>
      </c>
      <c r="N36" s="210">
        <f>N4+N12+N20+N28</f>
        <v>1335</v>
      </c>
      <c r="O36" s="210" t="e">
        <f t="shared" ref="O36:P36" si="94">O4+O12+O20+O28</f>
        <v>#REF!</v>
      </c>
      <c r="P36" s="210">
        <f t="shared" si="94"/>
        <v>1252</v>
      </c>
      <c r="Q36" s="210" t="e">
        <f>Q4+Q12+Q20+Q28</f>
        <v>#REF!</v>
      </c>
      <c r="R36" s="210">
        <f>R4+R12+R20+R28</f>
        <v>1221</v>
      </c>
      <c r="T36" s="212" t="e">
        <f>N36/O36-1</f>
        <v>#REF!</v>
      </c>
      <c r="U36" s="212">
        <f>N36/P36-1</f>
        <v>6.6293929712460065E-2</v>
      </c>
      <c r="V36" s="212" t="e">
        <f>N36/Q36-1</f>
        <v>#REF!</v>
      </c>
      <c r="W36" s="212">
        <f>N36/R36-1</f>
        <v>9.3366093366093361E-2</v>
      </c>
    </row>
    <row r="37" spans="1:24">
      <c r="A37" s="210" t="s">
        <v>17</v>
      </c>
      <c r="B37" s="212">
        <f>B36/B35</f>
        <v>0.43573770491803276</v>
      </c>
      <c r="C37" s="212" t="e">
        <f t="shared" ref="C37" si="95">C36/C35</f>
        <v>#REF!</v>
      </c>
      <c r="D37" s="212">
        <f t="shared" ref="D37" si="96">D36/D35</f>
        <v>0.45280289330922241</v>
      </c>
      <c r="E37" s="212" t="e">
        <f t="shared" ref="E37:F37" si="97">E36/E35</f>
        <v>#REF!</v>
      </c>
      <c r="F37" s="212">
        <f t="shared" si="97"/>
        <v>0.44529540481400437</v>
      </c>
      <c r="H37" s="212"/>
      <c r="I37" s="212"/>
      <c r="J37" s="212"/>
      <c r="K37" s="212"/>
      <c r="L37" s="212"/>
      <c r="N37" s="212">
        <f>N36/N35</f>
        <v>0.43770491803278688</v>
      </c>
      <c r="O37" s="212" t="e">
        <f t="shared" ref="O37" si="98">O36/O35</f>
        <v>#REF!</v>
      </c>
      <c r="P37" s="212">
        <f t="shared" ref="P37" si="99">P36/P35</f>
        <v>0.45280289330922241</v>
      </c>
      <c r="Q37" s="212" t="e">
        <f t="shared" ref="Q37" si="100">Q36/Q35</f>
        <v>#REF!</v>
      </c>
      <c r="R37" s="212">
        <f t="shared" ref="R37" si="101">R36/R35</f>
        <v>0.44529540481400437</v>
      </c>
    </row>
    <row r="38" spans="1:24">
      <c r="A38" s="210" t="s">
        <v>21</v>
      </c>
      <c r="B38" s="210">
        <f>B6+B14+B22+B30</f>
        <v>794</v>
      </c>
      <c r="C38" s="210" t="e">
        <f t="shared" si="90"/>
        <v>#REF!</v>
      </c>
      <c r="D38" s="210">
        <f t="shared" si="90"/>
        <v>810</v>
      </c>
      <c r="E38" s="210" t="e">
        <f>E6+E14+E22+E30</f>
        <v>#REF!</v>
      </c>
      <c r="F38" s="210">
        <f>F6+F14+F22+F30</f>
        <v>716</v>
      </c>
      <c r="H38" s="210">
        <f>H6+H14+H22+H30</f>
        <v>0</v>
      </c>
      <c r="I38" s="210">
        <f t="shared" ref="I38:J38" si="102">I6+I14+I22+I30</f>
        <v>-33</v>
      </c>
      <c r="J38" s="210">
        <f t="shared" si="102"/>
        <v>0</v>
      </c>
      <c r="K38" s="210">
        <f>K6+K14+K22+K30</f>
        <v>0</v>
      </c>
      <c r="L38" s="210">
        <f>L6+L14+L22+L30</f>
        <v>-33</v>
      </c>
      <c r="N38" s="210">
        <f>N6+N14+N22+N30</f>
        <v>761</v>
      </c>
      <c r="O38" s="210" t="e">
        <f t="shared" ref="O38:P38" si="103">O6+O14+O22+O30</f>
        <v>#REF!</v>
      </c>
      <c r="P38" s="210">
        <f t="shared" si="103"/>
        <v>810</v>
      </c>
      <c r="Q38" s="210" t="e">
        <f>Q6+Q14+Q22+Q30</f>
        <v>#REF!</v>
      </c>
      <c r="R38" s="210">
        <f>R6+R14+R22+R30</f>
        <v>716</v>
      </c>
      <c r="T38" s="212" t="e">
        <f t="shared" ref="T38:T39" si="104">N38/O38-1</f>
        <v>#REF!</v>
      </c>
      <c r="U38" s="212">
        <f t="shared" ref="U38:U39" si="105">N38/P38-1</f>
        <v>-6.0493827160493785E-2</v>
      </c>
      <c r="V38" s="212" t="e">
        <f t="shared" ref="V38:V39" si="106">N38/Q38-1</f>
        <v>#REF!</v>
      </c>
      <c r="W38" s="212">
        <f t="shared" ref="W38:W39" si="107">N38/R38-1</f>
        <v>6.2849162011173076E-2</v>
      </c>
    </row>
    <row r="39" spans="1:24">
      <c r="A39" s="216" t="s">
        <v>25</v>
      </c>
      <c r="B39" s="216">
        <f>B36-B38</f>
        <v>535</v>
      </c>
      <c r="C39" s="216" t="e">
        <f t="shared" ref="C39" si="108">C36-C38</f>
        <v>#REF!</v>
      </c>
      <c r="D39" s="216">
        <f t="shared" ref="D39" si="109">D36-D38</f>
        <v>442</v>
      </c>
      <c r="E39" s="216" t="e">
        <f t="shared" ref="E39:F39" si="110">E36-E38</f>
        <v>#REF!</v>
      </c>
      <c r="F39" s="216">
        <f t="shared" si="110"/>
        <v>505</v>
      </c>
      <c r="H39" s="216">
        <f>H36-H38</f>
        <v>0</v>
      </c>
      <c r="I39" s="216">
        <f t="shared" ref="I39" si="111">I36-I38</f>
        <v>33</v>
      </c>
      <c r="J39" s="216">
        <f t="shared" ref="J39" si="112">J36-J38</f>
        <v>0</v>
      </c>
      <c r="K39" s="216">
        <f t="shared" ref="K39" si="113">K36-K38</f>
        <v>6</v>
      </c>
      <c r="L39" s="216">
        <f t="shared" ref="L39" si="114">L36-L38</f>
        <v>39</v>
      </c>
      <c r="N39" s="216">
        <f>N36-N38</f>
        <v>574</v>
      </c>
      <c r="O39" s="216" t="e">
        <f t="shared" ref="O39" si="115">O36-O38</f>
        <v>#REF!</v>
      </c>
      <c r="P39" s="216">
        <f t="shared" ref="P39" si="116">P36-P38</f>
        <v>442</v>
      </c>
      <c r="Q39" s="216" t="e">
        <f t="shared" ref="Q39" si="117">Q36-Q38</f>
        <v>#REF!</v>
      </c>
      <c r="R39" s="216">
        <f t="shared" ref="R39" si="118">R36-R38</f>
        <v>505</v>
      </c>
      <c r="T39" s="212" t="e">
        <f t="shared" si="104"/>
        <v>#REF!</v>
      </c>
      <c r="U39" s="212">
        <f t="shared" si="105"/>
        <v>0.29864253393665163</v>
      </c>
      <c r="V39" s="212" t="e">
        <f t="shared" si="106"/>
        <v>#REF!</v>
      </c>
      <c r="W39" s="212">
        <f t="shared" si="107"/>
        <v>0.13663366336633653</v>
      </c>
      <c r="X39" s="210" t="s">
        <v>33</v>
      </c>
    </row>
    <row r="40" spans="1:24">
      <c r="A40" s="210" t="s">
        <v>26</v>
      </c>
      <c r="B40" s="212">
        <f>B39/B35</f>
        <v>0.17540983606557378</v>
      </c>
      <c r="C40" s="212" t="e">
        <f t="shared" ref="C40" si="119">C39/C35</f>
        <v>#REF!</v>
      </c>
      <c r="D40" s="212">
        <f t="shared" ref="D40" si="120">D39/D35</f>
        <v>0.15985533453887885</v>
      </c>
      <c r="E40" s="212" t="e">
        <f t="shared" ref="E40:F40" si="121">E39/E35</f>
        <v>#REF!</v>
      </c>
      <c r="F40" s="212">
        <f t="shared" si="121"/>
        <v>0.18417213712618527</v>
      </c>
      <c r="H40" s="212"/>
      <c r="I40" s="212"/>
      <c r="J40" s="212"/>
      <c r="K40" s="212"/>
      <c r="L40" s="212"/>
      <c r="N40" s="212">
        <f>N39/N35</f>
        <v>0.18819672131147541</v>
      </c>
      <c r="O40" s="212" t="e">
        <f t="shared" ref="O40" si="122">O39/O35</f>
        <v>#REF!</v>
      </c>
      <c r="P40" s="212">
        <f t="shared" ref="P40" si="123">P39/P35</f>
        <v>0.15985533453887885</v>
      </c>
      <c r="Q40" s="212" t="e">
        <f t="shared" ref="Q40" si="124">Q39/Q35</f>
        <v>#REF!</v>
      </c>
      <c r="R40" s="212">
        <f t="shared" ref="R40" si="125">R39/R35</f>
        <v>0.18417213712618527</v>
      </c>
    </row>
    <row r="41" spans="1:24">
      <c r="A41" s="210" t="s">
        <v>34</v>
      </c>
    </row>
    <row r="42" spans="1:24">
      <c r="A42" s="216" t="s">
        <v>35</v>
      </c>
    </row>
    <row r="43" spans="1:24">
      <c r="A43" s="210" t="s">
        <v>36</v>
      </c>
    </row>
    <row r="44" spans="1:24">
      <c r="A44" s="216" t="s">
        <v>37</v>
      </c>
    </row>
    <row r="45" spans="1:24">
      <c r="A45" s="210" t="s">
        <v>38</v>
      </c>
    </row>
    <row r="46" spans="1:24">
      <c r="A46" s="210" t="s">
        <v>39</v>
      </c>
    </row>
    <row r="47" spans="1:24">
      <c r="A47" s="216" t="s">
        <v>40</v>
      </c>
    </row>
    <row r="48" spans="1:24">
      <c r="A48" s="210" t="s">
        <v>41</v>
      </c>
    </row>
  </sheetData>
  <pageMargins left="0.7" right="0.7" top="0.75" bottom="0.75" header="0.3" footer="0.3"/>
  <pageSetup paperSize="9" orientation="portrait" r:id="rId1"/>
  <ignoredErrors>
    <ignoredError sqref="B37:D37 N5:R37 E37:F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3F8D7-0E42-441B-AB34-9CB4E0F06611}">
  <dimension ref="A1:AS143"/>
  <sheetViews>
    <sheetView showGridLines="0" zoomScale="85" zoomScaleNormal="85" workbookViewId="0">
      <pane xSplit="1" ySplit="1" topLeftCell="B2" activePane="bottomRight" state="frozen"/>
      <selection pane="bottomRight" activeCell="I46" sqref="I46"/>
      <selection pane="bottomLeft" activeCell="A2" sqref="A2"/>
      <selection pane="topRight" activeCell="B1" sqref="B1"/>
    </sheetView>
  </sheetViews>
  <sheetFormatPr defaultColWidth="8.7109375" defaultRowHeight="12.75"/>
  <cols>
    <col min="1" max="1" width="39.140625" customWidth="1"/>
    <col min="2" max="2" width="7.140625" customWidth="1"/>
    <col min="3" max="4" width="7.140625" bestFit="1" customWidth="1"/>
    <col min="5" max="5" width="7.5703125" bestFit="1" customWidth="1"/>
    <col min="18" max="18" width="3.140625" customWidth="1"/>
    <col min="21" max="43" width="9.140625" customWidth="1"/>
  </cols>
  <sheetData>
    <row r="1" spans="1:45">
      <c r="B1" s="202" t="s">
        <v>42</v>
      </c>
      <c r="C1" s="202" t="s">
        <v>43</v>
      </c>
      <c r="D1" s="202" t="s">
        <v>44</v>
      </c>
      <c r="E1" s="202" t="s">
        <v>45</v>
      </c>
      <c r="F1" s="202" t="s">
        <v>46</v>
      </c>
      <c r="G1" s="202" t="s">
        <v>47</v>
      </c>
      <c r="H1" s="202" t="s">
        <v>48</v>
      </c>
      <c r="I1" s="202" t="s">
        <v>49</v>
      </c>
      <c r="J1" s="202" t="s">
        <v>50</v>
      </c>
      <c r="K1" s="202" t="s">
        <v>51</v>
      </c>
      <c r="L1" s="202" t="s">
        <v>52</v>
      </c>
      <c r="M1" s="202" t="s">
        <v>1</v>
      </c>
      <c r="N1" s="234" t="s">
        <v>53</v>
      </c>
      <c r="O1" s="222" t="s">
        <v>54</v>
      </c>
      <c r="P1" s="222" t="s">
        <v>55</v>
      </c>
      <c r="Q1" s="222" t="s">
        <v>56</v>
      </c>
      <c r="S1" s="202">
        <v>2019</v>
      </c>
      <c r="T1" s="202">
        <v>2020</v>
      </c>
      <c r="U1" s="202">
        <v>2021</v>
      </c>
      <c r="V1" s="202">
        <v>2022</v>
      </c>
      <c r="AA1" s="161" t="s">
        <v>57</v>
      </c>
      <c r="AB1" s="161" t="s">
        <v>58</v>
      </c>
      <c r="AC1" s="161" t="s">
        <v>59</v>
      </c>
      <c r="AE1" s="202" t="s">
        <v>46</v>
      </c>
      <c r="AF1" s="202" t="s">
        <v>47</v>
      </c>
      <c r="AG1" s="202" t="s">
        <v>48</v>
      </c>
      <c r="AH1" s="202" t="s">
        <v>49</v>
      </c>
      <c r="AI1" s="202" t="s">
        <v>50</v>
      </c>
      <c r="AJ1" s="202" t="s">
        <v>51</v>
      </c>
      <c r="AK1" s="202" t="s">
        <v>52</v>
      </c>
      <c r="AL1" s="202" t="s">
        <v>1</v>
      </c>
      <c r="AM1" s="202" t="s">
        <v>53</v>
      </c>
      <c r="AN1" s="202" t="s">
        <v>54</v>
      </c>
      <c r="AO1" s="202" t="s">
        <v>55</v>
      </c>
      <c r="AP1" s="202" t="s">
        <v>56</v>
      </c>
      <c r="AR1" s="202" t="s">
        <v>60</v>
      </c>
      <c r="AS1" s="202" t="s">
        <v>61</v>
      </c>
    </row>
    <row r="2" spans="1:45">
      <c r="A2" s="204" t="s">
        <v>62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34"/>
      <c r="O2" s="222"/>
      <c r="P2" s="222"/>
      <c r="Q2" s="222"/>
      <c r="S2" s="202"/>
      <c r="T2" s="202"/>
      <c r="U2" s="202"/>
      <c r="V2" s="202"/>
      <c r="X2" s="161" t="s">
        <v>63</v>
      </c>
      <c r="Y2" s="161" t="s">
        <v>64</v>
      </c>
    </row>
    <row r="3" spans="1:45">
      <c r="A3" t="s">
        <v>14</v>
      </c>
      <c r="B3" s="203">
        <f>'P&amp;L new format'!C47</f>
        <v>1042</v>
      </c>
      <c r="C3" s="203">
        <f>'P&amp;L new format'!D47</f>
        <v>1088</v>
      </c>
      <c r="D3" s="203">
        <f>'P&amp;L new format'!E47</f>
        <v>1238</v>
      </c>
      <c r="E3" s="203">
        <f>'P&amp;L new format'!F47</f>
        <v>1265</v>
      </c>
      <c r="F3" s="203">
        <f>'P&amp;L new format'!I47</f>
        <v>1168</v>
      </c>
      <c r="G3" s="203">
        <f>'P&amp;L new format'!J47</f>
        <v>1055</v>
      </c>
      <c r="H3" s="203">
        <f>'P&amp;L new format'!K47</f>
        <v>1287</v>
      </c>
      <c r="I3" s="203">
        <f>'P&amp;L new format'!L47</f>
        <v>1426</v>
      </c>
      <c r="J3" s="203">
        <f>'P&amp;L new format'!O47</f>
        <v>1364</v>
      </c>
      <c r="K3" s="203">
        <f>'P&amp;L new format'!P47</f>
        <v>1379</v>
      </c>
      <c r="L3" s="203">
        <f>'P&amp;L new format'!Q47</f>
        <v>1514</v>
      </c>
      <c r="M3" s="203">
        <f>'P&amp;L new format'!R47</f>
        <v>1481</v>
      </c>
      <c r="N3" s="235">
        <f>+'P&amp;L new format'!U47</f>
        <v>1393.4397869999998</v>
      </c>
      <c r="O3" s="223">
        <v>1375</v>
      </c>
      <c r="P3" s="223">
        <v>1550</v>
      </c>
      <c r="Q3" s="223">
        <v>1650</v>
      </c>
      <c r="S3" s="203">
        <f>SUM(B3:E3)</f>
        <v>4633</v>
      </c>
      <c r="T3" s="203">
        <f>SUM(F3:I3)</f>
        <v>4936</v>
      </c>
      <c r="U3" s="203">
        <f>SUM(J3:M3)</f>
        <v>5738</v>
      </c>
      <c r="V3" s="203">
        <f>SUM(N3:Q3)</f>
        <v>5968.4397869999993</v>
      </c>
      <c r="X3">
        <v>5900</v>
      </c>
      <c r="Y3" s="203">
        <f>X3-V3</f>
        <v>-68.439786999999342</v>
      </c>
      <c r="AA3" s="90">
        <f>T3/S3-1</f>
        <v>6.5400388517159458E-2</v>
      </c>
      <c r="AB3" s="90">
        <f t="shared" ref="AB3:AC3" si="0">U3/T3-1</f>
        <v>0.16247974068071303</v>
      </c>
      <c r="AC3" s="90">
        <f t="shared" si="0"/>
        <v>4.016029749041472E-2</v>
      </c>
      <c r="AE3" s="207">
        <f>F3/B3-1</f>
        <v>0.12092130518234168</v>
      </c>
      <c r="AF3" s="207">
        <f t="shared" ref="AF3:AP3" si="1">G3/C3-1</f>
        <v>-3.0330882352941124E-2</v>
      </c>
      <c r="AG3" s="207">
        <f t="shared" si="1"/>
        <v>3.9579967689822304E-2</v>
      </c>
      <c r="AH3" s="207">
        <f t="shared" si="1"/>
        <v>0.1272727272727272</v>
      </c>
      <c r="AI3" s="207">
        <f t="shared" si="1"/>
        <v>0.16780821917808209</v>
      </c>
      <c r="AJ3" s="207">
        <f t="shared" si="1"/>
        <v>0.30710900473933656</v>
      </c>
      <c r="AK3" s="207">
        <f t="shared" si="1"/>
        <v>0.17637917637917644</v>
      </c>
      <c r="AL3" s="207">
        <f t="shared" si="1"/>
        <v>3.8569424964936871E-2</v>
      </c>
      <c r="AM3" s="207">
        <f t="shared" si="1"/>
        <v>2.158342155425208E-2</v>
      </c>
      <c r="AN3" s="207">
        <f t="shared" si="1"/>
        <v>-2.9006526468455807E-3</v>
      </c>
      <c r="AO3" s="207">
        <f t="shared" si="1"/>
        <v>2.3778071334213946E-2</v>
      </c>
      <c r="AP3" s="207">
        <f t="shared" si="1"/>
        <v>0.11411208642808912</v>
      </c>
      <c r="AR3">
        <v>5207</v>
      </c>
      <c r="AS3" s="90">
        <f>U3/AR3-1</f>
        <v>0.10197810639523719</v>
      </c>
    </row>
    <row r="4" spans="1:45">
      <c r="A4" t="s">
        <v>15</v>
      </c>
      <c r="B4" s="203">
        <f>'P&amp;L new format'!C48</f>
        <v>417</v>
      </c>
      <c r="C4" s="203">
        <f>'P&amp;L new format'!D48</f>
        <v>471</v>
      </c>
      <c r="D4" s="203">
        <f>'P&amp;L new format'!E48</f>
        <v>534</v>
      </c>
      <c r="E4" s="203">
        <f>'P&amp;L new format'!F48</f>
        <v>506</v>
      </c>
      <c r="F4" s="203">
        <f>'P&amp;L new format'!I48</f>
        <v>462</v>
      </c>
      <c r="G4" s="203">
        <f>'P&amp;L new format'!J48</f>
        <v>408</v>
      </c>
      <c r="H4" s="203">
        <f>'P&amp;L new format'!K48</f>
        <v>574</v>
      </c>
      <c r="I4" s="203">
        <f>'P&amp;L new format'!L48</f>
        <v>598</v>
      </c>
      <c r="J4" s="203">
        <f>'P&amp;L new format'!O48</f>
        <v>573</v>
      </c>
      <c r="K4" s="203">
        <f>'P&amp;L new format'!P48</f>
        <v>603</v>
      </c>
      <c r="L4" s="203">
        <f>'P&amp;L new format'!Q48</f>
        <v>644</v>
      </c>
      <c r="M4" s="203">
        <f>'P&amp;L new format'!R48</f>
        <v>592</v>
      </c>
      <c r="N4" s="235">
        <f>+'P&amp;L new format'!U48</f>
        <v>538.31792199999995</v>
      </c>
      <c r="O4" s="223">
        <f>353+239-10</f>
        <v>582</v>
      </c>
      <c r="P4" s="223">
        <f>341+333-10</f>
        <v>664</v>
      </c>
      <c r="Q4" s="223">
        <f>363+346-10</f>
        <v>699</v>
      </c>
      <c r="S4" s="203">
        <f>SUM(B4:E4)</f>
        <v>1928</v>
      </c>
      <c r="T4" s="203">
        <f>SUM(F4:I4)</f>
        <v>2042</v>
      </c>
      <c r="U4" s="203">
        <f>SUM(J4:M4)</f>
        <v>2412</v>
      </c>
      <c r="V4" s="203">
        <f>SUM(N4:Q4)</f>
        <v>2483.3179220000002</v>
      </c>
      <c r="X4">
        <v>2512</v>
      </c>
      <c r="Y4" s="203">
        <f>X4-V4</f>
        <v>28.682077999999819</v>
      </c>
      <c r="AA4" s="90">
        <f>T4/S4-1</f>
        <v>5.9128630705394203E-2</v>
      </c>
      <c r="AB4" s="90">
        <f t="shared" ref="AB4" si="2">U4/T4-1</f>
        <v>0.18119490695396667</v>
      </c>
      <c r="AC4" s="90">
        <f t="shared" ref="AC4" si="3">V4/U4-1</f>
        <v>2.956796102819248E-2</v>
      </c>
      <c r="AE4" s="207">
        <f>F4/B4-1</f>
        <v>0.1079136690647482</v>
      </c>
      <c r="AF4" s="207">
        <f t="shared" ref="AF4" si="4">G4/C4-1</f>
        <v>-0.13375796178343946</v>
      </c>
      <c r="AG4" s="207">
        <f t="shared" ref="AG4" si="5">H4/D4-1</f>
        <v>7.4906367041198463E-2</v>
      </c>
      <c r="AH4" s="207">
        <f t="shared" ref="AH4" si="6">I4/E4-1</f>
        <v>0.18181818181818188</v>
      </c>
      <c r="AI4" s="207">
        <f t="shared" ref="AI4" si="7">J4/F4-1</f>
        <v>0.24025974025974017</v>
      </c>
      <c r="AJ4" s="207">
        <f t="shared" ref="AJ4" si="8">K4/G4-1</f>
        <v>0.47794117647058831</v>
      </c>
      <c r="AK4" s="207">
        <f t="shared" ref="AK4" si="9">L4/H4-1</f>
        <v>0.12195121951219523</v>
      </c>
      <c r="AL4" s="207">
        <f t="shared" ref="AL4" si="10">M4/I4-1</f>
        <v>-1.0033444816053505E-2</v>
      </c>
      <c r="AM4" s="207">
        <f t="shared" ref="AM4" si="11">N4/J4-1</f>
        <v>-6.0527186736474725E-2</v>
      </c>
      <c r="AN4" s="207">
        <f t="shared" ref="AN4" si="12">O4/K4-1</f>
        <v>-3.4825870646766122E-2</v>
      </c>
      <c r="AO4" s="207">
        <f t="shared" ref="AO4" si="13">P4/L4-1</f>
        <v>3.105590062111796E-2</v>
      </c>
      <c r="AP4" s="207">
        <f t="shared" ref="AP4" si="14">Q4/M4-1</f>
        <v>0.1807432432432432</v>
      </c>
      <c r="AR4" s="205">
        <v>2215.3000000000002</v>
      </c>
      <c r="AS4" s="90">
        <f>U4/AR4-1</f>
        <v>8.8791585789735006E-2</v>
      </c>
    </row>
    <row r="5" spans="1:45" s="26" customFormat="1">
      <c r="A5" s="206" t="s">
        <v>65</v>
      </c>
      <c r="B5" s="207">
        <f>B4/B3</f>
        <v>0.40019193857965452</v>
      </c>
      <c r="C5" s="207">
        <f t="shared" ref="C5:E5" si="15">C4/C3</f>
        <v>0.4329044117647059</v>
      </c>
      <c r="D5" s="207">
        <f t="shared" si="15"/>
        <v>0.43134087237479807</v>
      </c>
      <c r="E5" s="207">
        <f t="shared" si="15"/>
        <v>0.4</v>
      </c>
      <c r="F5" s="207">
        <f t="shared" ref="F5" si="16">F4/F3</f>
        <v>0.39554794520547948</v>
      </c>
      <c r="G5" s="207">
        <f t="shared" ref="G5" si="17">G4/G3</f>
        <v>0.38672985781990521</v>
      </c>
      <c r="H5" s="207">
        <f t="shared" ref="H5" si="18">H4/H3</f>
        <v>0.44599844599844601</v>
      </c>
      <c r="I5" s="207">
        <f t="shared" ref="I5" si="19">I4/I3</f>
        <v>0.41935483870967744</v>
      </c>
      <c r="J5" s="207">
        <f t="shared" ref="J5" si="20">J4/J3</f>
        <v>0.42008797653958946</v>
      </c>
      <c r="K5" s="207">
        <f t="shared" ref="K5:M5" si="21">K4/K3</f>
        <v>0.43727338651196518</v>
      </c>
      <c r="L5" s="207">
        <f t="shared" si="21"/>
        <v>0.42536327608982827</v>
      </c>
      <c r="M5" s="207">
        <f t="shared" si="21"/>
        <v>0.39972991222147197</v>
      </c>
      <c r="N5" s="236">
        <f t="shared" ref="N5" si="22">N4/N3</f>
        <v>0.38632305968453018</v>
      </c>
      <c r="O5" s="224">
        <f t="shared" ref="O5" si="23">O4/O3</f>
        <v>0.4232727272727273</v>
      </c>
      <c r="P5" s="224">
        <f t="shared" ref="P5" si="24">P4/P3</f>
        <v>0.42838709677419357</v>
      </c>
      <c r="Q5" s="224">
        <f t="shared" ref="Q5" si="25">Q4/Q3</f>
        <v>0.42363636363636364</v>
      </c>
      <c r="S5" s="207">
        <f>S4/S3</f>
        <v>0.4161450464062163</v>
      </c>
      <c r="T5" s="207">
        <f>T4/T3</f>
        <v>0.41369529983792547</v>
      </c>
      <c r="U5" s="207">
        <f>U4/U3</f>
        <v>0.42035552457302194</v>
      </c>
      <c r="V5" s="207">
        <f>V4/V3</f>
        <v>0.41607488902023843</v>
      </c>
      <c r="AR5" s="207">
        <f t="shared" ref="AR5" si="26">AR4/AR3</f>
        <v>0.42544651430766278</v>
      </c>
    </row>
    <row r="6" spans="1:45">
      <c r="A6" t="s">
        <v>21</v>
      </c>
      <c r="B6" s="203">
        <f>'P&amp;L new format'!C50</f>
        <v>278</v>
      </c>
      <c r="C6" s="203">
        <f>'P&amp;L new format'!D50</f>
        <v>288</v>
      </c>
      <c r="D6" s="203">
        <f>'P&amp;L new format'!E50</f>
        <v>264</v>
      </c>
      <c r="E6" s="203">
        <f>'P&amp;L new format'!F50</f>
        <v>290</v>
      </c>
      <c r="F6" s="203">
        <f>'P&amp;L new format'!I50</f>
        <v>311</v>
      </c>
      <c r="G6" s="203">
        <f>'P&amp;L new format'!J50</f>
        <v>290</v>
      </c>
      <c r="H6" s="203">
        <f>'P&amp;L new format'!K50</f>
        <v>258</v>
      </c>
      <c r="I6" s="203">
        <f>'P&amp;L new format'!L50</f>
        <v>302</v>
      </c>
      <c r="J6" s="203">
        <f>'P&amp;L new format'!O50</f>
        <v>317</v>
      </c>
      <c r="K6" s="203">
        <f>'P&amp;L new format'!P50</f>
        <v>325</v>
      </c>
      <c r="L6" s="203">
        <f>'P&amp;L new format'!Q50</f>
        <v>307</v>
      </c>
      <c r="M6" s="203">
        <f>'P&amp;L new format'!R50</f>
        <v>346</v>
      </c>
      <c r="N6" s="235">
        <f>+'P&amp;L new format'!U50</f>
        <v>331.00399499999997</v>
      </c>
      <c r="O6" s="228">
        <f t="shared" ref="O6:Q6" si="27">O44+10</f>
        <v>10</v>
      </c>
      <c r="P6" s="228">
        <f t="shared" si="27"/>
        <v>10</v>
      </c>
      <c r="Q6" s="228">
        <f t="shared" si="27"/>
        <v>10</v>
      </c>
      <c r="S6" s="203">
        <f>SUM(B6:E6)</f>
        <v>1120</v>
      </c>
      <c r="T6" s="203">
        <f>SUM(F6:I6)</f>
        <v>1161</v>
      </c>
      <c r="U6" s="203">
        <f>SUM(J6:M6)</f>
        <v>1295</v>
      </c>
      <c r="V6" s="203">
        <f>SUM(N6:Q6)</f>
        <v>361.00399499999997</v>
      </c>
      <c r="X6">
        <v>1417</v>
      </c>
      <c r="Y6" s="203">
        <f>X6-V6</f>
        <v>1055.996005</v>
      </c>
      <c r="AA6" s="90">
        <f>T6/S6-1</f>
        <v>3.6607142857142838E-2</v>
      </c>
      <c r="AB6" s="90">
        <f t="shared" ref="AB6:AB7" si="28">U6/T6-1</f>
        <v>0.1154177433247201</v>
      </c>
      <c r="AC6" s="90">
        <f t="shared" ref="AC6:AC7" si="29">V6/U6-1</f>
        <v>-0.72123243629343636</v>
      </c>
      <c r="AE6" s="207">
        <f>F6/B6-1</f>
        <v>0.11870503597122295</v>
      </c>
      <c r="AF6" s="207">
        <f t="shared" ref="AF6:AF7" si="30">G6/C6-1</f>
        <v>6.9444444444444198E-3</v>
      </c>
      <c r="AG6" s="207">
        <f t="shared" ref="AG6:AG7" si="31">H6/D6-1</f>
        <v>-2.2727272727272707E-2</v>
      </c>
      <c r="AH6" s="207">
        <f t="shared" ref="AH6:AH7" si="32">I6/E6-1</f>
        <v>4.1379310344827669E-2</v>
      </c>
      <c r="AI6" s="207">
        <f t="shared" ref="AI6:AI7" si="33">J6/F6-1</f>
        <v>1.9292604501607746E-2</v>
      </c>
      <c r="AJ6" s="207">
        <f t="shared" ref="AJ6:AJ7" si="34">K6/G6-1</f>
        <v>0.1206896551724137</v>
      </c>
      <c r="AK6" s="207">
        <f t="shared" ref="AK6:AK7" si="35">L6/H6-1</f>
        <v>0.18992248062015493</v>
      </c>
      <c r="AL6" s="207">
        <f t="shared" ref="AL6:AL7" si="36">M6/I6-1</f>
        <v>0.14569536423841067</v>
      </c>
      <c r="AM6" s="207">
        <f t="shared" ref="AM6:AM7" si="37">N6/J6-1</f>
        <v>4.4176640378548848E-2</v>
      </c>
      <c r="AN6" s="207">
        <f t="shared" ref="AN6:AN7" si="38">O6/K6-1</f>
        <v>-0.96923076923076923</v>
      </c>
      <c r="AO6" s="207">
        <f t="shared" ref="AO6:AO7" si="39">P6/L6-1</f>
        <v>-0.96742671009771986</v>
      </c>
      <c r="AP6" s="207">
        <f t="shared" ref="AP6:AP7" si="40">Q6/M6-1</f>
        <v>-0.97109826589595372</v>
      </c>
      <c r="AR6" s="205">
        <v>1248.8</v>
      </c>
      <c r="AS6" s="90">
        <f>U6/AR6-1</f>
        <v>3.6995515695067205E-2</v>
      </c>
    </row>
    <row r="7" spans="1:45">
      <c r="A7" t="s">
        <v>25</v>
      </c>
      <c r="B7" s="203">
        <f>B4-B6</f>
        <v>139</v>
      </c>
      <c r="C7" s="203">
        <f t="shared" ref="C7:E7" si="41">C4-C6</f>
        <v>183</v>
      </c>
      <c r="D7" s="203">
        <f t="shared" si="41"/>
        <v>270</v>
      </c>
      <c r="E7" s="203">
        <f t="shared" si="41"/>
        <v>216</v>
      </c>
      <c r="F7" s="203">
        <f t="shared" ref="F7" si="42">F4-F6</f>
        <v>151</v>
      </c>
      <c r="G7" s="203">
        <f t="shared" ref="G7" si="43">G4-G6</f>
        <v>118</v>
      </c>
      <c r="H7" s="203">
        <f t="shared" ref="H7" si="44">H4-H6</f>
        <v>316</v>
      </c>
      <c r="I7" s="203">
        <f t="shared" ref="I7" si="45">I4-I6</f>
        <v>296</v>
      </c>
      <c r="J7" s="203">
        <f t="shared" ref="J7" si="46">J4-J6</f>
        <v>256</v>
      </c>
      <c r="K7" s="203">
        <f t="shared" ref="K7:M7" si="47">K4-K6</f>
        <v>278</v>
      </c>
      <c r="L7" s="203">
        <f t="shared" si="47"/>
        <v>337</v>
      </c>
      <c r="M7" s="203">
        <f t="shared" si="47"/>
        <v>246</v>
      </c>
      <c r="N7" s="235">
        <f t="shared" ref="N7" si="48">N4-N6</f>
        <v>207.31392699999998</v>
      </c>
      <c r="O7" s="225">
        <f t="shared" ref="O7" si="49">O4-O6</f>
        <v>572</v>
      </c>
      <c r="P7" s="225">
        <f t="shared" ref="P7" si="50">P4-P6</f>
        <v>654</v>
      </c>
      <c r="Q7" s="225">
        <f t="shared" ref="Q7" si="51">Q4-Q6</f>
        <v>689</v>
      </c>
      <c r="S7" s="203">
        <f>S4-S6</f>
        <v>808</v>
      </c>
      <c r="T7" s="203">
        <f>T4-T6</f>
        <v>881</v>
      </c>
      <c r="U7" s="203">
        <f>U4-U6</f>
        <v>1117</v>
      </c>
      <c r="V7" s="203">
        <f>V4-V6</f>
        <v>2122.3139270000001</v>
      </c>
      <c r="X7" s="203">
        <f>X4-X6</f>
        <v>1095</v>
      </c>
      <c r="Y7" s="203">
        <f>X7-V7</f>
        <v>-1027.3139270000001</v>
      </c>
      <c r="AA7" s="90">
        <f>T7/S7-1</f>
        <v>9.0346534653465316E-2</v>
      </c>
      <c r="AB7" s="90">
        <f t="shared" si="28"/>
        <v>0.26787741203178217</v>
      </c>
      <c r="AC7" s="90">
        <f t="shared" si="29"/>
        <v>0.9000124682184425</v>
      </c>
      <c r="AE7" s="207">
        <f>F7/B7-1</f>
        <v>8.6330935251798468E-2</v>
      </c>
      <c r="AF7" s="207">
        <f t="shared" si="30"/>
        <v>-0.35519125683060104</v>
      </c>
      <c r="AG7" s="207">
        <f t="shared" si="31"/>
        <v>0.17037037037037028</v>
      </c>
      <c r="AH7" s="207">
        <f t="shared" si="32"/>
        <v>0.37037037037037046</v>
      </c>
      <c r="AI7" s="207">
        <f t="shared" si="33"/>
        <v>0.69536423841059603</v>
      </c>
      <c r="AJ7" s="207">
        <f t="shared" si="34"/>
        <v>1.3559322033898304</v>
      </c>
      <c r="AK7" s="207">
        <f t="shared" si="35"/>
        <v>6.6455696202531556E-2</v>
      </c>
      <c r="AL7" s="207">
        <f t="shared" si="36"/>
        <v>-0.16891891891891897</v>
      </c>
      <c r="AM7" s="207">
        <f t="shared" si="37"/>
        <v>-0.19017997265625008</v>
      </c>
      <c r="AN7" s="207">
        <f t="shared" si="38"/>
        <v>1.0575539568345325</v>
      </c>
      <c r="AO7" s="207">
        <f t="shared" si="39"/>
        <v>0.94065281899109787</v>
      </c>
      <c r="AP7" s="207">
        <f t="shared" si="40"/>
        <v>1.8008130081300813</v>
      </c>
      <c r="AR7" s="203">
        <f t="shared" ref="AR7" si="52">AR4-AR6</f>
        <v>966.50000000000023</v>
      </c>
      <c r="AS7" s="90">
        <f>U7/AR7-1</f>
        <v>0.15571650284531779</v>
      </c>
    </row>
    <row r="8" spans="1:45">
      <c r="A8" t="s">
        <v>66</v>
      </c>
      <c r="B8" s="90">
        <f>B7/B3</f>
        <v>0.13339731285988485</v>
      </c>
      <c r="C8" s="90">
        <f t="shared" ref="C8:E8" si="53">C7/C3</f>
        <v>0.16819852941176472</v>
      </c>
      <c r="D8" s="90">
        <f t="shared" si="53"/>
        <v>0.21809369951534732</v>
      </c>
      <c r="E8" s="90">
        <f t="shared" si="53"/>
        <v>0.1707509881422925</v>
      </c>
      <c r="F8" s="90">
        <f t="shared" ref="F8" si="54">F7/F3</f>
        <v>0.12928082191780821</v>
      </c>
      <c r="G8" s="90">
        <f t="shared" ref="G8" si="55">G7/G3</f>
        <v>0.11184834123222749</v>
      </c>
      <c r="H8" s="90">
        <f t="shared" ref="H8" si="56">H7/H3</f>
        <v>0.24553224553224554</v>
      </c>
      <c r="I8" s="90">
        <f t="shared" ref="I8" si="57">I7/I3</f>
        <v>0.20757363253856942</v>
      </c>
      <c r="J8" s="90">
        <f t="shared" ref="J8" si="58">J7/J3</f>
        <v>0.18768328445747801</v>
      </c>
      <c r="K8" s="90">
        <f t="shared" ref="K8:M8" si="59">K7/K3</f>
        <v>0.20159535895576505</v>
      </c>
      <c r="L8" s="90">
        <f t="shared" si="59"/>
        <v>0.22258916776750332</v>
      </c>
      <c r="M8" s="90">
        <f t="shared" si="59"/>
        <v>0.16610398379473329</v>
      </c>
      <c r="N8" s="237">
        <f t="shared" ref="N8" si="60">N7/N3</f>
        <v>0.14877853276052611</v>
      </c>
      <c r="O8" s="226">
        <f t="shared" ref="O8" si="61">O7/O3</f>
        <v>0.41599999999999998</v>
      </c>
      <c r="P8" s="226">
        <f t="shared" ref="P8" si="62">P7/P3</f>
        <v>0.42193548387096774</v>
      </c>
      <c r="Q8" s="226">
        <f t="shared" ref="Q8" si="63">Q7/Q3</f>
        <v>0.4175757575757576</v>
      </c>
      <c r="S8" s="90">
        <f>S7/S3</f>
        <v>0.17440103604575868</v>
      </c>
      <c r="T8" s="90">
        <f>T7/T3</f>
        <v>0.17848460291734197</v>
      </c>
      <c r="U8" s="90">
        <f>U7/U3</f>
        <v>0.19466713140467062</v>
      </c>
      <c r="V8" s="90">
        <f>V7/V3</f>
        <v>0.3555894007044626</v>
      </c>
      <c r="AR8" s="90">
        <f t="shared" ref="AR8" si="64">AR7/AR3</f>
        <v>0.18561551757249861</v>
      </c>
    </row>
    <row r="9" spans="1:45" s="26" customFormat="1">
      <c r="A9" s="206" t="s">
        <v>67</v>
      </c>
      <c r="B9" s="207">
        <f>B6/B3</f>
        <v>0.2667946257197697</v>
      </c>
      <c r="C9" s="207">
        <f t="shared" ref="C9:Q9" si="65">C6/C3</f>
        <v>0.26470588235294118</v>
      </c>
      <c r="D9" s="207">
        <f t="shared" si="65"/>
        <v>0.21324717285945072</v>
      </c>
      <c r="E9" s="207">
        <f t="shared" si="65"/>
        <v>0.22924901185770752</v>
      </c>
      <c r="F9" s="207">
        <f t="shared" si="65"/>
        <v>0.26626712328767121</v>
      </c>
      <c r="G9" s="207">
        <f t="shared" si="65"/>
        <v>0.27488151658767773</v>
      </c>
      <c r="H9" s="207">
        <f t="shared" si="65"/>
        <v>0.20046620046620048</v>
      </c>
      <c r="I9" s="207">
        <f t="shared" si="65"/>
        <v>0.21178120617110799</v>
      </c>
      <c r="J9" s="207">
        <f t="shared" si="65"/>
        <v>0.23240469208211142</v>
      </c>
      <c r="K9" s="207">
        <f t="shared" ref="K9:M9" si="66">K6/K3</f>
        <v>0.23567802755620015</v>
      </c>
      <c r="L9" s="207">
        <f t="shared" si="66"/>
        <v>0.20277410832232498</v>
      </c>
      <c r="M9" s="207">
        <f t="shared" si="66"/>
        <v>0.23362592842673868</v>
      </c>
      <c r="N9" s="236">
        <f t="shared" si="65"/>
        <v>0.2375445269240041</v>
      </c>
      <c r="O9" s="224">
        <f t="shared" si="65"/>
        <v>7.2727272727272727E-3</v>
      </c>
      <c r="P9" s="224">
        <f t="shared" si="65"/>
        <v>6.4516129032258064E-3</v>
      </c>
      <c r="Q9" s="224">
        <f t="shared" si="65"/>
        <v>6.0606060606060606E-3</v>
      </c>
      <c r="S9" s="207"/>
      <c r="T9" s="207"/>
      <c r="U9" s="207"/>
      <c r="V9" s="207"/>
      <c r="AR9" s="207">
        <f t="shared" ref="AR9" si="67">AR6/AR3</f>
        <v>0.2398309967351642</v>
      </c>
    </row>
    <row r="10" spans="1:45">
      <c r="N10" s="221"/>
      <c r="O10" s="223"/>
      <c r="P10" s="223"/>
      <c r="Q10" s="223"/>
      <c r="X10" s="161"/>
      <c r="Y10" s="161"/>
    </row>
    <row r="11" spans="1:45">
      <c r="A11" s="204" t="s">
        <v>27</v>
      </c>
      <c r="B11" s="203"/>
      <c r="N11" s="221"/>
      <c r="O11" s="223"/>
      <c r="P11" s="223"/>
      <c r="Q11" s="223"/>
      <c r="S11" s="203"/>
      <c r="T11" s="203"/>
      <c r="U11" s="203"/>
      <c r="V11" s="203"/>
      <c r="X11" s="161" t="s">
        <v>63</v>
      </c>
      <c r="Y11" s="161" t="s">
        <v>64</v>
      </c>
    </row>
    <row r="12" spans="1:45">
      <c r="A12" t="s">
        <v>14</v>
      </c>
      <c r="B12" s="203">
        <f>'P&amp;L new format'!C64</f>
        <v>432</v>
      </c>
      <c r="C12" s="203">
        <f>'P&amp;L new format'!D64</f>
        <v>426</v>
      </c>
      <c r="D12" s="203">
        <f>'P&amp;L new format'!E64</f>
        <v>421</v>
      </c>
      <c r="E12" s="203">
        <f>'P&amp;L new format'!F64</f>
        <v>413</v>
      </c>
      <c r="F12" s="203">
        <f>'P&amp;L new format'!I64</f>
        <v>485</v>
      </c>
      <c r="G12" s="203">
        <f>'P&amp;L new format'!J64</f>
        <v>354</v>
      </c>
      <c r="H12" s="203">
        <f>'P&amp;L new format'!K64</f>
        <v>417</v>
      </c>
      <c r="I12" s="203">
        <f>'P&amp;L new format'!L64</f>
        <v>438</v>
      </c>
      <c r="J12" s="203">
        <f>'P&amp;L new format'!O64</f>
        <v>318</v>
      </c>
      <c r="K12" s="203">
        <f>'P&amp;L new format'!P64</f>
        <v>439</v>
      </c>
      <c r="L12" s="203">
        <f>'P&amp;L new format'!Q64</f>
        <v>493</v>
      </c>
      <c r="M12" s="203">
        <f>'P&amp;L new format'!R64</f>
        <v>631</v>
      </c>
      <c r="N12" s="235">
        <f>+'P&amp;L new format'!U64</f>
        <v>489.43843899999996</v>
      </c>
      <c r="O12" s="223">
        <f>(48.8+6.5)*10</f>
        <v>553</v>
      </c>
      <c r="P12" s="227">
        <f>595.5-6.5*10</f>
        <v>530.5</v>
      </c>
      <c r="Q12" s="227">
        <f>595.5-6.5*10</f>
        <v>530.5</v>
      </c>
      <c r="S12" s="203">
        <f>SUM(B12:E12)</f>
        <v>1692</v>
      </c>
      <c r="T12" s="203">
        <f>SUM(F12:I12)</f>
        <v>1694</v>
      </c>
      <c r="U12" s="203">
        <f>SUM(J12:M12)</f>
        <v>1881</v>
      </c>
      <c r="V12" s="203">
        <f>SUM(N12:Q12)</f>
        <v>2103.438439</v>
      </c>
      <c r="X12">
        <v>2113</v>
      </c>
      <c r="Y12" s="203">
        <f>X12-V12</f>
        <v>9.5615609999999833</v>
      </c>
      <c r="AA12" s="90">
        <f>T12/S12-1</f>
        <v>1.1820330969267712E-3</v>
      </c>
      <c r="AB12" s="90">
        <f t="shared" ref="AB12:AB13" si="68">U12/T12-1</f>
        <v>0.11038961038961048</v>
      </c>
      <c r="AC12" s="90">
        <f t="shared" ref="AC12:AC13" si="69">V12/U12-1</f>
        <v>0.11825541679957463</v>
      </c>
      <c r="AE12" s="207">
        <f>F12/B12-1</f>
        <v>0.12268518518518512</v>
      </c>
      <c r="AF12" s="207">
        <f t="shared" ref="AF12:AF13" si="70">G12/C12-1</f>
        <v>-0.16901408450704225</v>
      </c>
      <c r="AG12" s="207">
        <f t="shared" ref="AG12:AG13" si="71">H12/D12-1</f>
        <v>-9.5011876484560887E-3</v>
      </c>
      <c r="AH12" s="207">
        <f t="shared" ref="AH12:AH13" si="72">I12/E12-1</f>
        <v>6.0532687651331685E-2</v>
      </c>
      <c r="AI12" s="207">
        <f t="shared" ref="AI12:AI13" si="73">J12/F12-1</f>
        <v>-0.34432989690721649</v>
      </c>
      <c r="AJ12" s="207">
        <f t="shared" ref="AJ12:AJ13" si="74">K12/G12-1</f>
        <v>0.24011299435028244</v>
      </c>
      <c r="AK12" s="207">
        <f t="shared" ref="AK12:AK13" si="75">L12/H12-1</f>
        <v>0.18225419664268583</v>
      </c>
      <c r="AL12" s="207">
        <f t="shared" ref="AL12:AL13" si="76">M12/I12-1</f>
        <v>0.44063926940639275</v>
      </c>
      <c r="AM12" s="207">
        <f t="shared" ref="AM12:AM13" si="77">N12/J12-1</f>
        <v>0.53911458805031431</v>
      </c>
      <c r="AN12" s="207">
        <f t="shared" ref="AN12:AN13" si="78">O12/K12-1</f>
        <v>0.25968109339407741</v>
      </c>
      <c r="AO12" s="207">
        <f t="shared" ref="AO12:AO13" si="79">P12/L12-1</f>
        <v>7.606490872210947E-2</v>
      </c>
      <c r="AP12" s="207">
        <f t="shared" ref="AP12:AP13" si="80">Q12/M12-1</f>
        <v>-0.15927099841521397</v>
      </c>
      <c r="AR12">
        <v>1917.7</v>
      </c>
      <c r="AS12" s="90">
        <f>U12/AR12-1</f>
        <v>-1.9137508473692444E-2</v>
      </c>
    </row>
    <row r="13" spans="1:45">
      <c r="A13" t="s">
        <v>15</v>
      </c>
      <c r="B13" s="203">
        <f>'P&amp;L new format'!C65</f>
        <v>227</v>
      </c>
      <c r="C13" s="203">
        <f>'P&amp;L new format'!D65</f>
        <v>228</v>
      </c>
      <c r="D13" s="203">
        <f>'P&amp;L new format'!E65</f>
        <v>227</v>
      </c>
      <c r="E13" s="203">
        <f>'P&amp;L new format'!F65</f>
        <v>206</v>
      </c>
      <c r="F13" s="203">
        <f>'P&amp;L new format'!I65</f>
        <v>249</v>
      </c>
      <c r="G13" s="203">
        <f>'P&amp;L new format'!J65</f>
        <v>193</v>
      </c>
      <c r="H13" s="203">
        <f>'P&amp;L new format'!K65</f>
        <v>231</v>
      </c>
      <c r="I13" s="203">
        <f>'P&amp;L new format'!L65</f>
        <v>237</v>
      </c>
      <c r="J13" s="203">
        <f>'P&amp;L new format'!O65</f>
        <v>159</v>
      </c>
      <c r="K13" s="203">
        <f>'P&amp;L new format'!P65</f>
        <v>234</v>
      </c>
      <c r="L13" s="203">
        <f>'P&amp;L new format'!Q65</f>
        <v>265</v>
      </c>
      <c r="M13" s="203">
        <f>'P&amp;L new format'!R65</f>
        <v>338</v>
      </c>
      <c r="N13" s="235">
        <f>+'P&amp;L new format'!U65</f>
        <v>236.198992</v>
      </c>
      <c r="O13" s="223">
        <f>(26.7+2.9)*10</f>
        <v>296</v>
      </c>
      <c r="P13" s="223">
        <f>307-2.9*10</f>
        <v>278</v>
      </c>
      <c r="Q13" s="223">
        <f>307-2.9*10</f>
        <v>278</v>
      </c>
      <c r="S13" s="203">
        <f>SUM(B13:E13)</f>
        <v>888</v>
      </c>
      <c r="T13" s="203">
        <f>SUM(F13:I13)</f>
        <v>910</v>
      </c>
      <c r="U13" s="203">
        <f>SUM(J13:M13)</f>
        <v>996</v>
      </c>
      <c r="V13" s="203">
        <f>SUM(N13:Q13)</f>
        <v>1088.1989920000001</v>
      </c>
      <c r="X13">
        <v>1118</v>
      </c>
      <c r="Y13" s="203">
        <f>X13-V13</f>
        <v>29.801007999999911</v>
      </c>
      <c r="AA13" s="90">
        <f>T13/S13-1</f>
        <v>2.4774774774774855E-2</v>
      </c>
      <c r="AB13" s="90">
        <f t="shared" si="68"/>
        <v>9.4505494505494614E-2</v>
      </c>
      <c r="AC13" s="90">
        <f t="shared" si="69"/>
        <v>9.256926907630536E-2</v>
      </c>
      <c r="AE13" s="207">
        <f>F13/B13-1</f>
        <v>9.6916299559471453E-2</v>
      </c>
      <c r="AF13" s="207">
        <f t="shared" si="70"/>
        <v>-0.15350877192982459</v>
      </c>
      <c r="AG13" s="207">
        <f t="shared" si="71"/>
        <v>1.7621145374449254E-2</v>
      </c>
      <c r="AH13" s="207">
        <f t="shared" si="72"/>
        <v>0.15048543689320382</v>
      </c>
      <c r="AI13" s="207">
        <f t="shared" si="73"/>
        <v>-0.36144578313253017</v>
      </c>
      <c r="AJ13" s="207">
        <f t="shared" si="74"/>
        <v>0.21243523316062185</v>
      </c>
      <c r="AK13" s="207">
        <f t="shared" si="75"/>
        <v>0.14718614718614709</v>
      </c>
      <c r="AL13" s="207">
        <f t="shared" si="76"/>
        <v>0.42616033755274252</v>
      </c>
      <c r="AM13" s="207">
        <f t="shared" si="77"/>
        <v>0.48552825157232715</v>
      </c>
      <c r="AN13" s="207">
        <f t="shared" si="78"/>
        <v>0.2649572649572649</v>
      </c>
      <c r="AO13" s="207">
        <f t="shared" si="79"/>
        <v>4.9056603773584895E-2</v>
      </c>
      <c r="AP13" s="207">
        <f t="shared" si="80"/>
        <v>-0.1775147928994083</v>
      </c>
      <c r="AR13" s="205">
        <v>1025.0999999999999</v>
      </c>
      <c r="AS13" s="90">
        <f>U13/AR13-1</f>
        <v>-2.838747439274214E-2</v>
      </c>
    </row>
    <row r="14" spans="1:45" s="26" customFormat="1">
      <c r="A14" s="206" t="s">
        <v>65</v>
      </c>
      <c r="B14" s="207">
        <f>B13/B12</f>
        <v>0.52546296296296291</v>
      </c>
      <c r="C14" s="207">
        <f t="shared" ref="C14" si="81">C13/C12</f>
        <v>0.53521126760563376</v>
      </c>
      <c r="D14" s="207">
        <f t="shared" ref="D14" si="82">D13/D12</f>
        <v>0.53919239904988125</v>
      </c>
      <c r="E14" s="207">
        <f t="shared" ref="E14" si="83">E13/E12</f>
        <v>0.49878934624697335</v>
      </c>
      <c r="F14" s="207">
        <f t="shared" ref="F14" si="84">F13/F12</f>
        <v>0.51340206185567006</v>
      </c>
      <c r="G14" s="207">
        <f t="shared" ref="G14" si="85">G13/G12</f>
        <v>0.54519774011299438</v>
      </c>
      <c r="H14" s="207">
        <f t="shared" ref="H14" si="86">H13/H12</f>
        <v>0.5539568345323741</v>
      </c>
      <c r="I14" s="207">
        <f t="shared" ref="I14" si="87">I13/I12</f>
        <v>0.54109589041095896</v>
      </c>
      <c r="J14" s="207">
        <f t="shared" ref="J14:M14" si="88">J13/J12</f>
        <v>0.5</v>
      </c>
      <c r="K14" s="207">
        <f t="shared" si="88"/>
        <v>0.53302961275626426</v>
      </c>
      <c r="L14" s="207">
        <f t="shared" si="88"/>
        <v>0.53752535496957399</v>
      </c>
      <c r="M14" s="207">
        <f t="shared" si="88"/>
        <v>0.53565768621236132</v>
      </c>
      <c r="N14" s="236">
        <f t="shared" ref="N14" si="89">N13/N12</f>
        <v>0.48259183010347911</v>
      </c>
      <c r="O14" s="224">
        <f t="shared" ref="O14" si="90">O13/O12</f>
        <v>0.53526220614828213</v>
      </c>
      <c r="P14" s="224">
        <f t="shared" ref="P14" si="91">P13/P12</f>
        <v>0.52403393025447687</v>
      </c>
      <c r="Q14" s="224">
        <f t="shared" ref="Q14" si="92">Q13/Q12</f>
        <v>0.52403393025447687</v>
      </c>
      <c r="S14" s="207">
        <f>S13/S12</f>
        <v>0.52482269503546097</v>
      </c>
      <c r="T14" s="207">
        <f>T13/T12</f>
        <v>0.53719008264462809</v>
      </c>
      <c r="U14" s="207">
        <f>U13/U12</f>
        <v>0.52950558213716103</v>
      </c>
      <c r="V14" s="207">
        <f>V13/V12</f>
        <v>0.51734292376882829</v>
      </c>
      <c r="AR14" s="207">
        <f t="shared" ref="AR14" si="93">AR13/AR12</f>
        <v>0.53454659227199242</v>
      </c>
    </row>
    <row r="15" spans="1:45">
      <c r="A15" t="s">
        <v>21</v>
      </c>
      <c r="B15" s="203">
        <f>'P&amp;L new format'!C67</f>
        <v>120</v>
      </c>
      <c r="C15" s="203">
        <f>'P&amp;L new format'!D67</f>
        <v>120</v>
      </c>
      <c r="D15" s="203">
        <f>'P&amp;L new format'!E67</f>
        <v>131</v>
      </c>
      <c r="E15" s="203">
        <f>'P&amp;L new format'!F67</f>
        <v>132</v>
      </c>
      <c r="F15" s="203">
        <f>'P&amp;L new format'!I67</f>
        <v>137</v>
      </c>
      <c r="G15" s="203">
        <f>'P&amp;L new format'!J67</f>
        <v>129</v>
      </c>
      <c r="H15" s="203">
        <f>'P&amp;L new format'!K67</f>
        <v>133</v>
      </c>
      <c r="I15" s="203">
        <f>'P&amp;L new format'!L67</f>
        <v>135</v>
      </c>
      <c r="J15" s="203">
        <f>'P&amp;L new format'!O67</f>
        <v>136</v>
      </c>
      <c r="K15" s="203">
        <f>'P&amp;L new format'!P67</f>
        <v>140</v>
      </c>
      <c r="L15" s="203">
        <f>'P&amp;L new format'!Q67</f>
        <v>146</v>
      </c>
      <c r="M15" s="203">
        <f>'P&amp;L new format'!R67</f>
        <v>160</v>
      </c>
      <c r="N15" s="235">
        <f>+'P&amp;L new format'!U67</f>
        <v>146.26863499999999</v>
      </c>
      <c r="O15" s="223">
        <f>(11.5+2.3)*10+20</f>
        <v>158</v>
      </c>
      <c r="P15" s="223">
        <f>332/2</f>
        <v>166</v>
      </c>
      <c r="Q15" s="223">
        <f>P15</f>
        <v>166</v>
      </c>
      <c r="S15" s="203">
        <f>SUM(B15:E15)</f>
        <v>503</v>
      </c>
      <c r="T15" s="203">
        <f>SUM(F15:I15)</f>
        <v>534</v>
      </c>
      <c r="U15" s="203">
        <f>SUM(J15:M15)</f>
        <v>582</v>
      </c>
      <c r="V15" s="203">
        <f>SUM(N15:Q15)</f>
        <v>636.26863500000002</v>
      </c>
      <c r="X15">
        <f>571+73</f>
        <v>644</v>
      </c>
      <c r="Y15" s="203">
        <f>X15-V15</f>
        <v>7.7313649999999825</v>
      </c>
      <c r="AA15" s="90">
        <f>T15/S15-1</f>
        <v>6.1630218687872773E-2</v>
      </c>
      <c r="AB15" s="90">
        <f t="shared" ref="AB15:AB16" si="94">U15/T15-1</f>
        <v>8.98876404494382E-2</v>
      </c>
      <c r="AC15" s="90">
        <f t="shared" ref="AC15:AC16" si="95">V15/U15-1</f>
        <v>9.3245077319587644E-2</v>
      </c>
      <c r="AE15" s="207">
        <f>F15/B15-1</f>
        <v>0.14166666666666661</v>
      </c>
      <c r="AF15" s="207">
        <f t="shared" ref="AF15:AF16" si="96">G15/C15-1</f>
        <v>7.4999999999999956E-2</v>
      </c>
      <c r="AG15" s="207">
        <f t="shared" ref="AG15:AG16" si="97">H15/D15-1</f>
        <v>1.5267175572519109E-2</v>
      </c>
      <c r="AH15" s="207">
        <f t="shared" ref="AH15:AH16" si="98">I15/E15-1</f>
        <v>2.2727272727272707E-2</v>
      </c>
      <c r="AI15" s="207">
        <f t="shared" ref="AI15:AI16" si="99">J15/F15-1</f>
        <v>-7.2992700729926918E-3</v>
      </c>
      <c r="AJ15" s="207">
        <f t="shared" ref="AJ15:AJ16" si="100">K15/G15-1</f>
        <v>8.5271317829457294E-2</v>
      </c>
      <c r="AK15" s="207">
        <f t="shared" ref="AK15:AK16" si="101">L15/H15-1</f>
        <v>9.7744360902255689E-2</v>
      </c>
      <c r="AL15" s="207">
        <f t="shared" ref="AL15:AL16" si="102">M15/I15-1</f>
        <v>0.18518518518518512</v>
      </c>
      <c r="AM15" s="207">
        <f t="shared" ref="AM15:AM16" si="103">N15/J15-1</f>
        <v>7.5504669117647083E-2</v>
      </c>
      <c r="AN15" s="207">
        <f t="shared" ref="AN15:AN16" si="104">O15/K15-1</f>
        <v>0.12857142857142856</v>
      </c>
      <c r="AO15" s="207">
        <f t="shared" ref="AO15:AO16" si="105">P15/L15-1</f>
        <v>0.13698630136986312</v>
      </c>
      <c r="AP15" s="207">
        <f t="shared" ref="AP15:AP16" si="106">Q15/M15-1</f>
        <v>3.7500000000000089E-2</v>
      </c>
      <c r="AR15" s="205">
        <v>618.6</v>
      </c>
      <c r="AS15" s="90">
        <f>U15/AR15-1</f>
        <v>-5.9165858389912729E-2</v>
      </c>
    </row>
    <row r="16" spans="1:45">
      <c r="A16" t="s">
        <v>25</v>
      </c>
      <c r="B16" s="203">
        <f>B13-B15</f>
        <v>107</v>
      </c>
      <c r="C16" s="203">
        <f t="shared" ref="C16" si="107">C13-C15</f>
        <v>108</v>
      </c>
      <c r="D16" s="203">
        <f t="shared" ref="D16" si="108">D13-D15</f>
        <v>96</v>
      </c>
      <c r="E16" s="203">
        <f t="shared" ref="E16" si="109">E13-E15</f>
        <v>74</v>
      </c>
      <c r="F16" s="203">
        <f t="shared" ref="F16" si="110">F13-F15</f>
        <v>112</v>
      </c>
      <c r="G16" s="203">
        <f t="shared" ref="G16" si="111">G13-G15</f>
        <v>64</v>
      </c>
      <c r="H16" s="203">
        <f t="shared" ref="H16" si="112">H13-H15</f>
        <v>98</v>
      </c>
      <c r="I16" s="203">
        <f t="shared" ref="I16" si="113">I13-I15</f>
        <v>102</v>
      </c>
      <c r="J16" s="203">
        <f t="shared" ref="J16:M16" si="114">J13-J15</f>
        <v>23</v>
      </c>
      <c r="K16" s="203">
        <f t="shared" si="114"/>
        <v>94</v>
      </c>
      <c r="L16" s="203">
        <f t="shared" si="114"/>
        <v>119</v>
      </c>
      <c r="M16" s="203">
        <f t="shared" si="114"/>
        <v>178</v>
      </c>
      <c r="N16" s="235">
        <f t="shared" ref="N16" si="115">N13-N15</f>
        <v>89.930357000000015</v>
      </c>
      <c r="O16" s="225">
        <f t="shared" ref="O16" si="116">O13-O15</f>
        <v>138</v>
      </c>
      <c r="P16" s="225">
        <f t="shared" ref="P16" si="117">P13-P15</f>
        <v>112</v>
      </c>
      <c r="Q16" s="225">
        <f t="shared" ref="Q16" si="118">Q13-Q15</f>
        <v>112</v>
      </c>
      <c r="S16" s="203">
        <f>S13-S15</f>
        <v>385</v>
      </c>
      <c r="T16" s="203">
        <f>T13-T15</f>
        <v>376</v>
      </c>
      <c r="U16" s="203">
        <f>U13-U15</f>
        <v>414</v>
      </c>
      <c r="V16" s="203">
        <f>V13-V15</f>
        <v>451.93035700000007</v>
      </c>
      <c r="X16" s="203">
        <f>X13-X15</f>
        <v>474</v>
      </c>
      <c r="Y16" s="203">
        <f>X16-V16</f>
        <v>22.069642999999928</v>
      </c>
      <c r="AA16" s="90">
        <f>T16/S16-1</f>
        <v>-2.3376623376623384E-2</v>
      </c>
      <c r="AB16" s="90">
        <f t="shared" si="94"/>
        <v>0.10106382978723394</v>
      </c>
      <c r="AC16" s="90">
        <f t="shared" si="95"/>
        <v>9.1619219806763352E-2</v>
      </c>
      <c r="AE16" s="207">
        <f>F16/B16-1</f>
        <v>4.6728971962616717E-2</v>
      </c>
      <c r="AF16" s="207">
        <f t="shared" si="96"/>
        <v>-0.40740740740740744</v>
      </c>
      <c r="AG16" s="207">
        <f t="shared" si="97"/>
        <v>2.0833333333333259E-2</v>
      </c>
      <c r="AH16" s="207">
        <f t="shared" si="98"/>
        <v>0.37837837837837829</v>
      </c>
      <c r="AI16" s="207">
        <f t="shared" si="99"/>
        <v>-0.79464285714285721</v>
      </c>
      <c r="AJ16" s="207">
        <f t="shared" si="100"/>
        <v>0.46875</v>
      </c>
      <c r="AK16" s="207">
        <f t="shared" si="101"/>
        <v>0.21428571428571419</v>
      </c>
      <c r="AL16" s="207">
        <f t="shared" si="102"/>
        <v>0.74509803921568629</v>
      </c>
      <c r="AM16" s="207">
        <f t="shared" si="103"/>
        <v>2.910015521739131</v>
      </c>
      <c r="AN16" s="207">
        <f t="shared" si="104"/>
        <v>0.46808510638297873</v>
      </c>
      <c r="AO16" s="207">
        <f t="shared" si="105"/>
        <v>-5.8823529411764719E-2</v>
      </c>
      <c r="AP16" s="207">
        <f t="shared" si="106"/>
        <v>-0.3707865168539326</v>
      </c>
      <c r="AR16" s="203">
        <f t="shared" ref="AR16" si="119">AR13-AR15</f>
        <v>406.49999999999989</v>
      </c>
      <c r="AS16" s="90">
        <f>U16/AR16-1</f>
        <v>1.8450184501845213E-2</v>
      </c>
    </row>
    <row r="17" spans="1:45">
      <c r="A17" t="s">
        <v>66</v>
      </c>
      <c r="B17" s="90">
        <f>B16/B12</f>
        <v>0.24768518518518517</v>
      </c>
      <c r="C17" s="90">
        <f t="shared" ref="C17" si="120">C16/C12</f>
        <v>0.25352112676056338</v>
      </c>
      <c r="D17" s="90">
        <f t="shared" ref="D17" si="121">D16/D12</f>
        <v>0.22802850356294538</v>
      </c>
      <c r="E17" s="90">
        <f t="shared" ref="E17" si="122">E16/E12</f>
        <v>0.1791767554479419</v>
      </c>
      <c r="F17" s="90">
        <f t="shared" ref="F17" si="123">F16/F12</f>
        <v>0.2309278350515464</v>
      </c>
      <c r="G17" s="90">
        <f t="shared" ref="G17" si="124">G16/G12</f>
        <v>0.1807909604519774</v>
      </c>
      <c r="H17" s="90">
        <f t="shared" ref="H17" si="125">H16/H12</f>
        <v>0.23501199040767387</v>
      </c>
      <c r="I17" s="90">
        <f t="shared" ref="I17" si="126">I16/I12</f>
        <v>0.23287671232876711</v>
      </c>
      <c r="J17" s="90">
        <f t="shared" ref="J17:M17" si="127">J16/J12</f>
        <v>7.2327044025157231E-2</v>
      </c>
      <c r="K17" s="90">
        <f t="shared" si="127"/>
        <v>0.21412300683371299</v>
      </c>
      <c r="L17" s="90">
        <f t="shared" si="127"/>
        <v>0.2413793103448276</v>
      </c>
      <c r="M17" s="90">
        <f t="shared" si="127"/>
        <v>0.28209191759112517</v>
      </c>
      <c r="N17" s="237">
        <f t="shared" ref="N17" si="128">N16/N12</f>
        <v>0.18374191692777939</v>
      </c>
      <c r="O17" s="226">
        <f t="shared" ref="O17" si="129">O16/O12</f>
        <v>0.24954792043399637</v>
      </c>
      <c r="P17" s="226">
        <f t="shared" ref="P17" si="130">P16/P12</f>
        <v>0.21112158341187559</v>
      </c>
      <c r="Q17" s="226">
        <f t="shared" ref="Q17" si="131">Q16/Q12</f>
        <v>0.21112158341187559</v>
      </c>
      <c r="S17" s="90">
        <f>S16/S12</f>
        <v>0.22754137115839243</v>
      </c>
      <c r="T17" s="90">
        <f>T16/T12</f>
        <v>0.22195985832349469</v>
      </c>
      <c r="U17" s="90">
        <f>U16/U12</f>
        <v>0.22009569377990432</v>
      </c>
      <c r="V17" s="90">
        <f>V16/V12</f>
        <v>0.2148531417039489</v>
      </c>
      <c r="AR17" s="90">
        <f t="shared" ref="AR17" si="132">AR16/AR12</f>
        <v>0.21197267560098026</v>
      </c>
    </row>
    <row r="18" spans="1:45" s="26" customFormat="1">
      <c r="A18" s="206" t="s">
        <v>67</v>
      </c>
      <c r="B18" s="207">
        <f>B15/B12</f>
        <v>0.27777777777777779</v>
      </c>
      <c r="C18" s="207">
        <f t="shared" ref="C18:Q18" si="133">C15/C12</f>
        <v>0.28169014084507044</v>
      </c>
      <c r="D18" s="207">
        <f t="shared" si="133"/>
        <v>0.31116389548693585</v>
      </c>
      <c r="E18" s="207">
        <f t="shared" si="133"/>
        <v>0.31961259079903148</v>
      </c>
      <c r="F18" s="207">
        <f t="shared" si="133"/>
        <v>0.28247422680412371</v>
      </c>
      <c r="G18" s="207">
        <f t="shared" si="133"/>
        <v>0.36440677966101692</v>
      </c>
      <c r="H18" s="207">
        <f t="shared" si="133"/>
        <v>0.31894484412470026</v>
      </c>
      <c r="I18" s="207">
        <f t="shared" si="133"/>
        <v>0.30821917808219179</v>
      </c>
      <c r="J18" s="207">
        <f t="shared" si="133"/>
        <v>0.42767295597484278</v>
      </c>
      <c r="K18" s="207">
        <f t="shared" ref="K18:M18" si="134">K15/K12</f>
        <v>0.31890660592255127</v>
      </c>
      <c r="L18" s="207">
        <f t="shared" si="134"/>
        <v>0.29614604462474647</v>
      </c>
      <c r="M18" s="207">
        <f t="shared" si="134"/>
        <v>0.25356576862123614</v>
      </c>
      <c r="N18" s="236">
        <f t="shared" si="133"/>
        <v>0.2988499131756997</v>
      </c>
      <c r="O18" s="224">
        <f t="shared" si="133"/>
        <v>0.2857142857142857</v>
      </c>
      <c r="P18" s="224">
        <f t="shared" si="133"/>
        <v>0.31291234684260133</v>
      </c>
      <c r="Q18" s="224">
        <f t="shared" si="133"/>
        <v>0.31291234684260133</v>
      </c>
      <c r="S18" s="207"/>
      <c r="T18" s="207"/>
      <c r="U18" s="207"/>
      <c r="V18" s="207"/>
      <c r="AR18" s="207">
        <f t="shared" ref="AR18" si="135">AR15/AR12</f>
        <v>0.32257391667101215</v>
      </c>
    </row>
    <row r="19" spans="1:45">
      <c r="B19" s="203"/>
      <c r="N19" s="221"/>
      <c r="O19" s="223"/>
      <c r="P19" s="223"/>
      <c r="Q19" s="223"/>
      <c r="S19" s="203"/>
      <c r="T19" s="203"/>
      <c r="U19" s="203"/>
      <c r="V19" s="203"/>
    </row>
    <row r="20" spans="1:45">
      <c r="A20" s="204" t="s">
        <v>68</v>
      </c>
      <c r="B20" s="203"/>
      <c r="N20" s="221"/>
      <c r="O20" s="223"/>
      <c r="P20" s="223"/>
      <c r="Q20" s="223"/>
      <c r="S20" s="203"/>
      <c r="T20" s="203"/>
      <c r="U20" s="203"/>
      <c r="V20" s="203"/>
      <c r="X20" s="161" t="s">
        <v>63</v>
      </c>
      <c r="Y20" s="161" t="s">
        <v>64</v>
      </c>
    </row>
    <row r="21" spans="1:45">
      <c r="A21" t="s">
        <v>14</v>
      </c>
      <c r="B21" s="203">
        <f>'P&amp;L new format'!C81</f>
        <v>607</v>
      </c>
      <c r="C21" s="203">
        <f>'P&amp;L new format'!D81</f>
        <v>804</v>
      </c>
      <c r="D21" s="203">
        <f>'P&amp;L new format'!E81</f>
        <v>719</v>
      </c>
      <c r="E21" s="203">
        <f>'P&amp;L new format'!F81</f>
        <v>891</v>
      </c>
      <c r="F21" s="203">
        <f>'P&amp;L new format'!I81</f>
        <v>649</v>
      </c>
      <c r="G21" s="203">
        <f>'P&amp;L new format'!J81</f>
        <v>910</v>
      </c>
      <c r="H21" s="203">
        <f>'P&amp;L new format'!K81</f>
        <v>874</v>
      </c>
      <c r="I21" s="203">
        <f>'P&amp;L new format'!L81</f>
        <v>878</v>
      </c>
      <c r="J21" s="203">
        <f>'P&amp;L new format'!O81</f>
        <v>609</v>
      </c>
      <c r="K21" s="203">
        <f>'P&amp;L new format'!P81</f>
        <v>867</v>
      </c>
      <c r="L21" s="203">
        <f>'P&amp;L new format'!Q81</f>
        <v>876</v>
      </c>
      <c r="M21" s="203">
        <f>'P&amp;L new format'!R81</f>
        <v>938</v>
      </c>
      <c r="N21" s="238">
        <f>+'P&amp;L new format'!U81</f>
        <v>617.64792799999987</v>
      </c>
      <c r="O21" s="227">
        <f t="shared" ref="O21:Q21" si="136">K21/$U$21*$X$21</f>
        <v>928.66504559270516</v>
      </c>
      <c r="P21" s="227">
        <f t="shared" si="136"/>
        <v>938.30516717325224</v>
      </c>
      <c r="Q21" s="227">
        <f t="shared" si="136"/>
        <v>1004.7148936170214</v>
      </c>
      <c r="S21" s="203">
        <f>SUM(B21:E21)</f>
        <v>3021</v>
      </c>
      <c r="T21" s="203">
        <f>SUM(F21:I21)</f>
        <v>3311</v>
      </c>
      <c r="U21" s="203">
        <f>SUM(J21:M21)</f>
        <v>3290</v>
      </c>
      <c r="V21" s="203">
        <f>SUM(N21:Q21)</f>
        <v>3489.3330343829789</v>
      </c>
      <c r="X21">
        <v>3524</v>
      </c>
      <c r="Y21" s="203">
        <f>X21-V21</f>
        <v>34.666965617021106</v>
      </c>
      <c r="AA21" s="90">
        <f>T21/S21-1</f>
        <v>9.5994703740483356E-2</v>
      </c>
      <c r="AB21" s="90">
        <f t="shared" ref="AB21:AB22" si="137">U21/T21-1</f>
        <v>-6.3424947145876986E-3</v>
      </c>
      <c r="AC21" s="90">
        <f t="shared" ref="AC21:AC22" si="138">V21/U21-1</f>
        <v>6.0587548444674511E-2</v>
      </c>
      <c r="AE21" s="207">
        <f>F21/B21-1</f>
        <v>6.9192751235584771E-2</v>
      </c>
      <c r="AF21" s="207">
        <f t="shared" ref="AF21:AF22" si="139">G21/C21-1</f>
        <v>0.1318407960199004</v>
      </c>
      <c r="AG21" s="207">
        <f t="shared" ref="AG21:AG22" si="140">H21/D21-1</f>
        <v>0.21557719054241997</v>
      </c>
      <c r="AH21" s="207">
        <f t="shared" ref="AH21:AH22" si="141">I21/E21-1</f>
        <v>-1.4590347923681302E-2</v>
      </c>
      <c r="AI21" s="207">
        <f t="shared" ref="AI21:AI22" si="142">J21/F21-1</f>
        <v>-6.163328197226503E-2</v>
      </c>
      <c r="AJ21" s="207">
        <f t="shared" ref="AJ21:AJ22" si="143">K21/G21-1</f>
        <v>-4.7252747252747307E-2</v>
      </c>
      <c r="AK21" s="207">
        <f t="shared" ref="AK21:AK22" si="144">L21/H21-1</f>
        <v>2.2883295194509046E-3</v>
      </c>
      <c r="AL21" s="207">
        <f t="shared" ref="AL21:AL22" si="145">M21/I21-1</f>
        <v>6.8337129840546629E-2</v>
      </c>
      <c r="AM21" s="207">
        <f t="shared" ref="AM21:AM22" si="146">N21/J21-1</f>
        <v>1.4200210180623785E-2</v>
      </c>
      <c r="AN21" s="207">
        <f t="shared" ref="AN21:AN22" si="147">O21/K21-1</f>
        <v>7.1124620060790233E-2</v>
      </c>
      <c r="AO21" s="207">
        <f t="shared" ref="AO21:AO22" si="148">P21/L21-1</f>
        <v>7.1124620060790233E-2</v>
      </c>
      <c r="AP21" s="207">
        <f t="shared" ref="AP21:AP22" si="149">Q21/M21-1</f>
        <v>7.1124620060790456E-2</v>
      </c>
      <c r="AR21">
        <v>3500</v>
      </c>
      <c r="AS21" s="90">
        <f>U21/AR21-1</f>
        <v>-6.0000000000000053E-2</v>
      </c>
    </row>
    <row r="22" spans="1:45">
      <c r="A22" t="s">
        <v>15</v>
      </c>
      <c r="B22" s="203">
        <f>'P&amp;L new format'!C82</f>
        <v>230</v>
      </c>
      <c r="C22" s="203">
        <f>'P&amp;L new format'!D82</f>
        <v>342</v>
      </c>
      <c r="D22" s="203">
        <f>'P&amp;L new format'!E82</f>
        <v>301</v>
      </c>
      <c r="E22" s="203">
        <f>'P&amp;L new format'!F82</f>
        <v>396</v>
      </c>
      <c r="F22" s="203">
        <f>'P&amp;L new format'!I82</f>
        <v>262</v>
      </c>
      <c r="G22" s="203">
        <f>'P&amp;L new format'!J82</f>
        <v>394</v>
      </c>
      <c r="H22" s="203">
        <f>'P&amp;L new format'!K82</f>
        <v>372</v>
      </c>
      <c r="I22" s="203">
        <f>'P&amp;L new format'!L82</f>
        <v>386</v>
      </c>
      <c r="J22" s="203">
        <f>'P&amp;L new format'!O82</f>
        <v>241</v>
      </c>
      <c r="K22" s="203">
        <f>'P&amp;L new format'!P82</f>
        <v>374</v>
      </c>
      <c r="L22" s="203">
        <f>'P&amp;L new format'!Q82</f>
        <v>367</v>
      </c>
      <c r="M22" s="203">
        <f>'P&amp;L new format'!R82</f>
        <v>399</v>
      </c>
      <c r="N22" s="238">
        <f>+'P&amp;L new format'!U82</f>
        <v>221.965146</v>
      </c>
      <c r="O22" s="227">
        <f t="shared" ref="O22:Q22" si="150">K22/$U$22*$X$22</f>
        <v>409.74800868935552</v>
      </c>
      <c r="P22" s="227">
        <f t="shared" si="150"/>
        <v>402.0789283128168</v>
      </c>
      <c r="Q22" s="227">
        <f t="shared" si="150"/>
        <v>437.13758146270811</v>
      </c>
      <c r="S22" s="203">
        <f>SUM(B22:E22)</f>
        <v>1269</v>
      </c>
      <c r="T22" s="203">
        <f>SUM(F22:I22)</f>
        <v>1414</v>
      </c>
      <c r="U22" s="203">
        <f>SUM(J22:M22)</f>
        <v>1381</v>
      </c>
      <c r="V22" s="203">
        <f>SUM(N22:Q22)</f>
        <v>1470.9296644648805</v>
      </c>
      <c r="X22">
        <v>1513</v>
      </c>
      <c r="Y22" s="203">
        <f>X22-V22</f>
        <v>42.070335535119511</v>
      </c>
      <c r="AA22" s="90">
        <f>T22/S22-1</f>
        <v>0.1142631993695824</v>
      </c>
      <c r="AB22" s="90">
        <f t="shared" si="137"/>
        <v>-2.3338048090523311E-2</v>
      </c>
      <c r="AC22" s="90">
        <f t="shared" si="138"/>
        <v>6.5119235673338549E-2</v>
      </c>
      <c r="AE22" s="207">
        <f>F22/B22-1</f>
        <v>0.13913043478260878</v>
      </c>
      <c r="AF22" s="207">
        <f t="shared" si="139"/>
        <v>0.1520467836257311</v>
      </c>
      <c r="AG22" s="207">
        <f t="shared" si="140"/>
        <v>0.23588039867109645</v>
      </c>
      <c r="AH22" s="207">
        <f t="shared" si="141"/>
        <v>-2.5252525252525304E-2</v>
      </c>
      <c r="AI22" s="207">
        <f t="shared" si="142"/>
        <v>-8.0152671755725158E-2</v>
      </c>
      <c r="AJ22" s="207">
        <f t="shared" si="143"/>
        <v>-5.0761421319796995E-2</v>
      </c>
      <c r="AK22" s="207">
        <f t="shared" si="144"/>
        <v>-1.3440860215053752E-2</v>
      </c>
      <c r="AL22" s="207">
        <f t="shared" si="145"/>
        <v>3.3678756476683835E-2</v>
      </c>
      <c r="AM22" s="207">
        <f t="shared" si="146"/>
        <v>-7.8982796680497902E-2</v>
      </c>
      <c r="AN22" s="207">
        <f t="shared" si="147"/>
        <v>9.5582910934105758E-2</v>
      </c>
      <c r="AO22" s="207">
        <f t="shared" si="148"/>
        <v>9.5582910934105758E-2</v>
      </c>
      <c r="AP22" s="207">
        <f t="shared" si="149"/>
        <v>9.5582910934105536E-2</v>
      </c>
      <c r="AR22" s="205">
        <v>1494.9</v>
      </c>
      <c r="AS22" s="90">
        <f>U22/AR22-1</f>
        <v>-7.61923874506657E-2</v>
      </c>
    </row>
    <row r="23" spans="1:45" s="26" customFormat="1">
      <c r="A23" s="206" t="s">
        <v>65</v>
      </c>
      <c r="B23" s="207">
        <f>B22/B21</f>
        <v>0.37891268533772654</v>
      </c>
      <c r="C23" s="207">
        <f t="shared" ref="C23" si="151">C22/C21</f>
        <v>0.42537313432835822</v>
      </c>
      <c r="D23" s="207">
        <f t="shared" ref="D23" si="152">D22/D21</f>
        <v>0.41863699582753827</v>
      </c>
      <c r="E23" s="207">
        <f t="shared" ref="E23" si="153">E22/E21</f>
        <v>0.44444444444444442</v>
      </c>
      <c r="F23" s="207">
        <f t="shared" ref="F23" si="154">F22/F21</f>
        <v>0.40369799691833591</v>
      </c>
      <c r="G23" s="207">
        <f t="shared" ref="G23" si="155">G22/G21</f>
        <v>0.43296703296703298</v>
      </c>
      <c r="H23" s="207">
        <f t="shared" ref="H23" si="156">H22/H21</f>
        <v>0.42562929061784899</v>
      </c>
      <c r="I23" s="207">
        <f t="shared" ref="I23" si="157">I22/I21</f>
        <v>0.43963553530751709</v>
      </c>
      <c r="J23" s="207">
        <f t="shared" ref="J23:M23" si="158">J22/J21</f>
        <v>0.39573070607553368</v>
      </c>
      <c r="K23" s="207">
        <f t="shared" si="158"/>
        <v>0.43137254901960786</v>
      </c>
      <c r="L23" s="207">
        <f t="shared" si="158"/>
        <v>0.41894977168949771</v>
      </c>
      <c r="M23" s="207">
        <f t="shared" si="158"/>
        <v>0.42537313432835822</v>
      </c>
      <c r="N23" s="236">
        <f t="shared" ref="N23" si="159">N22/N21</f>
        <v>0.35937163542140149</v>
      </c>
      <c r="O23" s="224">
        <f t="shared" ref="O23" si="160">O22/O21</f>
        <v>0.44122260295458909</v>
      </c>
      <c r="P23" s="224">
        <f t="shared" ref="P23" si="161">P22/P21</f>
        <v>0.42851616124434644</v>
      </c>
      <c r="Q23" s="224">
        <f t="shared" ref="Q23" si="162">Q22/Q21</f>
        <v>0.43508619633276463</v>
      </c>
      <c r="S23" s="207">
        <f>S22/S21</f>
        <v>0.42005958291956308</v>
      </c>
      <c r="T23" s="207">
        <f>T22/T21</f>
        <v>0.42706131078224102</v>
      </c>
      <c r="U23" s="207">
        <f>U22/U21</f>
        <v>0.41975683890577509</v>
      </c>
      <c r="V23" s="207">
        <f>V22/V21</f>
        <v>0.42155037939076684</v>
      </c>
      <c r="AR23" s="207">
        <f t="shared" ref="AR23" si="163">AR22/AR21</f>
        <v>0.42711428571428572</v>
      </c>
    </row>
    <row r="24" spans="1:45">
      <c r="A24" t="s">
        <v>21</v>
      </c>
      <c r="B24" s="203">
        <f>'P&amp;L new format'!C84</f>
        <v>246</v>
      </c>
      <c r="C24" s="203">
        <f>'P&amp;L new format'!D84</f>
        <v>258</v>
      </c>
      <c r="D24" s="203">
        <f>'P&amp;L new format'!E84</f>
        <v>232</v>
      </c>
      <c r="E24" s="203">
        <f>'P&amp;L new format'!F84</f>
        <v>255</v>
      </c>
      <c r="F24" s="203">
        <f>'P&amp;L new format'!I84</f>
        <v>274</v>
      </c>
      <c r="G24" s="203">
        <f>'P&amp;L new format'!J84</f>
        <v>262</v>
      </c>
      <c r="H24" s="203">
        <f>'P&amp;L new format'!K84</f>
        <v>260</v>
      </c>
      <c r="I24" s="203">
        <f>'P&amp;L new format'!L84</f>
        <v>254</v>
      </c>
      <c r="J24" s="203">
        <f>'P&amp;L new format'!O84</f>
        <v>252</v>
      </c>
      <c r="K24" s="203">
        <f>'P&amp;L new format'!P84</f>
        <v>252</v>
      </c>
      <c r="L24" s="203">
        <f>'P&amp;L new format'!Q84</f>
        <v>263</v>
      </c>
      <c r="M24" s="203">
        <f>'P&amp;L new format'!R84</f>
        <v>254</v>
      </c>
      <c r="N24" s="238">
        <f>+'P&amp;L new format'!U84</f>
        <v>249.467915</v>
      </c>
      <c r="O24" s="227">
        <f t="shared" ref="O24:Q24" si="164">K24/$U$24*$X$24</f>
        <v>283.09892262487756</v>
      </c>
      <c r="P24" s="227">
        <f t="shared" si="164"/>
        <v>295.45641527913813</v>
      </c>
      <c r="Q24" s="227">
        <f t="shared" si="164"/>
        <v>285.34573947110675</v>
      </c>
      <c r="S24" s="203">
        <f>SUM(B24:E24)</f>
        <v>991</v>
      </c>
      <c r="T24" s="203">
        <f>SUM(F24:I24)</f>
        <v>1050</v>
      </c>
      <c r="U24" s="203">
        <f>SUM(J24:M24)</f>
        <v>1021</v>
      </c>
      <c r="V24" s="203">
        <f>SUM(N24:Q24)</f>
        <v>1113.3689923751224</v>
      </c>
      <c r="X24">
        <v>1147</v>
      </c>
      <c r="Y24" s="203">
        <f>X24-V24</f>
        <v>33.631007624877611</v>
      </c>
      <c r="AA24" s="90">
        <f>T24/S24-1</f>
        <v>5.953582240161448E-2</v>
      </c>
      <c r="AB24" s="90">
        <f t="shared" ref="AB24:AB25" si="165">U24/T24-1</f>
        <v>-2.7619047619047654E-2</v>
      </c>
      <c r="AC24" s="90">
        <f t="shared" ref="AC24:AC25" si="166">V24/U24-1</f>
        <v>9.0469140426172823E-2</v>
      </c>
      <c r="AE24" s="207">
        <f>F24/B24-1</f>
        <v>0.11382113821138207</v>
      </c>
      <c r="AF24" s="207">
        <f t="shared" ref="AF24:AF25" si="167">G24/C24-1</f>
        <v>1.5503875968992276E-2</v>
      </c>
      <c r="AG24" s="207">
        <f t="shared" ref="AG24:AG25" si="168">H24/D24-1</f>
        <v>0.1206896551724137</v>
      </c>
      <c r="AH24" s="207">
        <f t="shared" ref="AH24:AH25" si="169">I24/E24-1</f>
        <v>-3.9215686274509665E-3</v>
      </c>
      <c r="AI24" s="207">
        <f t="shared" ref="AI24:AI25" si="170">J24/F24-1</f>
        <v>-8.0291970802919721E-2</v>
      </c>
      <c r="AJ24" s="207">
        <f t="shared" ref="AJ24:AJ25" si="171">K24/G24-1</f>
        <v>-3.8167938931297662E-2</v>
      </c>
      <c r="AK24" s="207">
        <f t="shared" ref="AK24:AK25" si="172">L24/H24-1</f>
        <v>1.1538461538461497E-2</v>
      </c>
      <c r="AL24" s="207">
        <f t="shared" ref="AL24:AL25" si="173">M24/I24-1</f>
        <v>0</v>
      </c>
      <c r="AM24" s="207">
        <f t="shared" ref="AM24:AM25" si="174">N24/J24-1</f>
        <v>-1.00479563492063E-2</v>
      </c>
      <c r="AN24" s="207">
        <f t="shared" ref="AN24:AN25" si="175">O24/K24-1</f>
        <v>0.12340842311459355</v>
      </c>
      <c r="AO24" s="207">
        <f t="shared" ref="AO24:AO25" si="176">P24/L24-1</f>
        <v>0.12340842311459355</v>
      </c>
      <c r="AP24" s="207">
        <f t="shared" ref="AP24:AP25" si="177">Q24/M24-1</f>
        <v>0.12340842311459355</v>
      </c>
      <c r="AR24" s="205">
        <v>1132</v>
      </c>
      <c r="AS24" s="90">
        <f>U24/AR24-1</f>
        <v>-9.8056537102473529E-2</v>
      </c>
    </row>
    <row r="25" spans="1:45">
      <c r="A25" t="s">
        <v>25</v>
      </c>
      <c r="B25" s="203">
        <f>B22-B24</f>
        <v>-16</v>
      </c>
      <c r="C25" s="203">
        <f t="shared" ref="C25" si="178">C22-C24</f>
        <v>84</v>
      </c>
      <c r="D25" s="203">
        <f t="shared" ref="D25" si="179">D22-D24</f>
        <v>69</v>
      </c>
      <c r="E25" s="203">
        <f t="shared" ref="E25" si="180">E22-E24</f>
        <v>141</v>
      </c>
      <c r="F25" s="203">
        <f t="shared" ref="F25" si="181">F22-F24</f>
        <v>-12</v>
      </c>
      <c r="G25" s="203">
        <f t="shared" ref="G25" si="182">G22-G24</f>
        <v>132</v>
      </c>
      <c r="H25" s="203">
        <f t="shared" ref="H25" si="183">H22-H24</f>
        <v>112</v>
      </c>
      <c r="I25" s="203">
        <f t="shared" ref="I25" si="184">I22-I24</f>
        <v>132</v>
      </c>
      <c r="J25" s="203">
        <f t="shared" ref="J25:M25" si="185">J22-J24</f>
        <v>-11</v>
      </c>
      <c r="K25" s="203">
        <f t="shared" si="185"/>
        <v>122</v>
      </c>
      <c r="L25" s="203">
        <f t="shared" si="185"/>
        <v>104</v>
      </c>
      <c r="M25" s="203">
        <f t="shared" si="185"/>
        <v>145</v>
      </c>
      <c r="N25" s="235">
        <f t="shared" ref="N25" si="186">N22-N24</f>
        <v>-27.502769000000001</v>
      </c>
      <c r="O25" s="225">
        <f t="shared" ref="O25" si="187">O22-O24</f>
        <v>126.64908606447796</v>
      </c>
      <c r="P25" s="225">
        <f t="shared" ref="P25" si="188">P22-P24</f>
        <v>106.62251303367867</v>
      </c>
      <c r="Q25" s="225">
        <f t="shared" ref="Q25" si="189">Q22-Q24</f>
        <v>151.79184199160136</v>
      </c>
      <c r="S25" s="203">
        <f>S22-S24</f>
        <v>278</v>
      </c>
      <c r="T25" s="203">
        <f>T22-T24</f>
        <v>364</v>
      </c>
      <c r="U25" s="203">
        <f>U22-U24</f>
        <v>360</v>
      </c>
      <c r="V25" s="203">
        <f>V22-V24</f>
        <v>357.5606720897581</v>
      </c>
      <c r="X25" s="203">
        <f>X22-X24</f>
        <v>366</v>
      </c>
      <c r="Y25" s="203">
        <f>X25-V25</f>
        <v>8.4393279102419001</v>
      </c>
      <c r="AA25" s="90">
        <f>T25/S25-1</f>
        <v>0.30935251798561159</v>
      </c>
      <c r="AB25" s="90">
        <f t="shared" si="165"/>
        <v>-1.098901098901095E-2</v>
      </c>
      <c r="AC25" s="90">
        <f t="shared" si="166"/>
        <v>-6.7759108617830854E-3</v>
      </c>
      <c r="AE25" s="207">
        <f>F25/B25-1</f>
        <v>-0.25</v>
      </c>
      <c r="AF25" s="207">
        <f t="shared" si="167"/>
        <v>0.5714285714285714</v>
      </c>
      <c r="AG25" s="207">
        <f t="shared" si="168"/>
        <v>0.62318840579710155</v>
      </c>
      <c r="AH25" s="207">
        <f t="shared" si="169"/>
        <v>-6.3829787234042534E-2</v>
      </c>
      <c r="AI25" s="207">
        <f t="shared" si="170"/>
        <v>-8.333333333333337E-2</v>
      </c>
      <c r="AJ25" s="207">
        <f t="shared" si="171"/>
        <v>-7.5757575757575801E-2</v>
      </c>
      <c r="AK25" s="207">
        <f t="shared" si="172"/>
        <v>-7.1428571428571397E-2</v>
      </c>
      <c r="AL25" s="207">
        <f t="shared" si="173"/>
        <v>9.8484848484848397E-2</v>
      </c>
      <c r="AM25" s="207">
        <f t="shared" si="174"/>
        <v>1.5002517272727274</v>
      </c>
      <c r="AN25" s="207">
        <f t="shared" si="175"/>
        <v>3.8107262823589894E-2</v>
      </c>
      <c r="AO25" s="207">
        <f t="shared" si="176"/>
        <v>2.521647147767947E-2</v>
      </c>
      <c r="AP25" s="207">
        <f t="shared" si="177"/>
        <v>4.6840289597250839E-2</v>
      </c>
      <c r="AR25" s="203">
        <f t="shared" ref="AR25" si="190">AR22-AR24</f>
        <v>362.90000000000009</v>
      </c>
      <c r="AS25" s="90">
        <f>U25/AR25-1</f>
        <v>-7.9911821438415354E-3</v>
      </c>
    </row>
    <row r="26" spans="1:45">
      <c r="A26" t="s">
        <v>66</v>
      </c>
      <c r="B26" s="90">
        <f>B25/B21</f>
        <v>-2.6359143327841845E-2</v>
      </c>
      <c r="C26" s="90">
        <f t="shared" ref="C26" si="191">C25/C21</f>
        <v>0.1044776119402985</v>
      </c>
      <c r="D26" s="90">
        <f t="shared" ref="D26" si="192">D25/D21</f>
        <v>9.5966620305980535E-2</v>
      </c>
      <c r="E26" s="90">
        <f t="shared" ref="E26" si="193">E25/E21</f>
        <v>0.15824915824915825</v>
      </c>
      <c r="F26" s="90">
        <f t="shared" ref="F26" si="194">F25/F21</f>
        <v>-1.8489984591679508E-2</v>
      </c>
      <c r="G26" s="90">
        <f t="shared" ref="G26" si="195">G25/G21</f>
        <v>0.14505494505494507</v>
      </c>
      <c r="H26" s="90">
        <f t="shared" ref="H26" si="196">H25/H21</f>
        <v>0.12814645308924486</v>
      </c>
      <c r="I26" s="90">
        <f t="shared" ref="I26" si="197">I25/I21</f>
        <v>0.15034168564920272</v>
      </c>
      <c r="J26" s="90">
        <f t="shared" ref="J26:M26" si="198">J25/J21</f>
        <v>-1.8062397372742199E-2</v>
      </c>
      <c r="K26" s="90">
        <f t="shared" si="198"/>
        <v>0.14071510957324107</v>
      </c>
      <c r="L26" s="90">
        <f t="shared" si="198"/>
        <v>0.11872146118721461</v>
      </c>
      <c r="M26" s="90">
        <f t="shared" si="198"/>
        <v>0.15458422174840086</v>
      </c>
      <c r="N26" s="237">
        <f t="shared" ref="N26" si="199">N25/N21</f>
        <v>-4.4528230004845099E-2</v>
      </c>
      <c r="O26" s="226">
        <f t="shared" ref="O26" si="200">O25/O21</f>
        <v>0.13637757409470092</v>
      </c>
      <c r="P26" s="226">
        <f t="shared" ref="P26" si="201">P25/P21</f>
        <v>0.11363308736206873</v>
      </c>
      <c r="Q26" s="226">
        <f t="shared" ref="Q26" si="202">Q25/Q21</f>
        <v>0.15107951813587983</v>
      </c>
      <c r="S26" s="90">
        <f>S25/S21</f>
        <v>9.2022509102946043E-2</v>
      </c>
      <c r="T26" s="90">
        <f>T25/T21</f>
        <v>0.10993657505285412</v>
      </c>
      <c r="U26" s="90">
        <f>U25/U21</f>
        <v>0.10942249240121581</v>
      </c>
      <c r="V26" s="90">
        <f>V25/V21</f>
        <v>0.10247249791477293</v>
      </c>
      <c r="AR26" s="90">
        <f t="shared" ref="AR26" si="203">AR25/AR21</f>
        <v>0.10368571428571431</v>
      </c>
    </row>
    <row r="27" spans="1:45" s="26" customFormat="1">
      <c r="A27" s="206" t="s">
        <v>67</v>
      </c>
      <c r="B27" s="207">
        <f>B24/B21</f>
        <v>0.40527182866556838</v>
      </c>
      <c r="C27" s="207">
        <f t="shared" ref="C27:Q27" si="204">C24/C21</f>
        <v>0.32089552238805968</v>
      </c>
      <c r="D27" s="207">
        <f t="shared" si="204"/>
        <v>0.3226703755215577</v>
      </c>
      <c r="E27" s="207">
        <f t="shared" si="204"/>
        <v>0.28619528619528617</v>
      </c>
      <c r="F27" s="207">
        <f t="shared" si="204"/>
        <v>0.42218798151001541</v>
      </c>
      <c r="G27" s="207">
        <f t="shared" si="204"/>
        <v>0.28791208791208789</v>
      </c>
      <c r="H27" s="207">
        <f t="shared" si="204"/>
        <v>0.2974828375286041</v>
      </c>
      <c r="I27" s="207">
        <f t="shared" si="204"/>
        <v>0.28929384965831434</v>
      </c>
      <c r="J27" s="207">
        <f t="shared" si="204"/>
        <v>0.41379310344827586</v>
      </c>
      <c r="K27" s="207">
        <f t="shared" ref="K27:M27" si="205">K24/K21</f>
        <v>0.29065743944636679</v>
      </c>
      <c r="L27" s="207">
        <f t="shared" si="205"/>
        <v>0.3002283105022831</v>
      </c>
      <c r="M27" s="207">
        <f t="shared" si="205"/>
        <v>0.27078891257995735</v>
      </c>
      <c r="N27" s="236">
        <f t="shared" si="204"/>
        <v>0.40389986542624662</v>
      </c>
      <c r="O27" s="224">
        <f t="shared" si="204"/>
        <v>0.30484502885988818</v>
      </c>
      <c r="P27" s="224">
        <f t="shared" si="204"/>
        <v>0.31488307388227771</v>
      </c>
      <c r="Q27" s="224">
        <f t="shared" si="204"/>
        <v>0.2840066781968848</v>
      </c>
      <c r="S27" s="207"/>
      <c r="T27" s="207"/>
      <c r="U27" s="207"/>
      <c r="V27" s="207"/>
      <c r="AR27" s="207">
        <f t="shared" ref="AR27" si="206">AR24/AR21</f>
        <v>0.32342857142857145</v>
      </c>
    </row>
    <row r="28" spans="1:45">
      <c r="B28" s="203"/>
      <c r="N28" s="221"/>
      <c r="O28" s="223"/>
      <c r="P28" s="223"/>
      <c r="Q28" s="223"/>
      <c r="S28" s="203"/>
      <c r="T28" s="203"/>
      <c r="U28" s="203"/>
      <c r="V28" s="203"/>
    </row>
    <row r="29" spans="1:45">
      <c r="A29" s="204" t="s">
        <v>69</v>
      </c>
      <c r="B29" s="203"/>
      <c r="N29" s="221"/>
      <c r="O29" s="223"/>
      <c r="P29" s="223"/>
      <c r="Q29" s="223"/>
      <c r="S29" s="203"/>
      <c r="T29" s="203"/>
      <c r="U29" s="203"/>
      <c r="V29" s="203"/>
    </row>
    <row r="30" spans="1:45">
      <c r="A30" t="s">
        <v>21</v>
      </c>
      <c r="B30" s="203">
        <f>'P&amp;L new format'!C95</f>
        <v>23</v>
      </c>
      <c r="C30" s="203">
        <f>'P&amp;L new format'!D95</f>
        <v>23</v>
      </c>
      <c r="D30" s="203">
        <f>'P&amp;L new format'!E95</f>
        <v>21</v>
      </c>
      <c r="E30" s="203">
        <f>'P&amp;L new format'!F95</f>
        <v>23</v>
      </c>
      <c r="F30" s="203">
        <f>'P&amp;L new format'!I95</f>
        <v>23</v>
      </c>
      <c r="G30" s="203">
        <f>'P&amp;L new format'!J95</f>
        <v>26</v>
      </c>
      <c r="H30" s="203">
        <f>'P&amp;L new format'!K95</f>
        <v>25</v>
      </c>
      <c r="I30" s="203">
        <f>'P&amp;L new format'!L95</f>
        <v>25</v>
      </c>
      <c r="J30" s="203">
        <f>'P&amp;L new format'!O95</f>
        <v>28</v>
      </c>
      <c r="K30" s="203">
        <f>'P&amp;L new format'!P95</f>
        <v>29</v>
      </c>
      <c r="L30" s="203">
        <f>'P&amp;L new format'!Q95</f>
        <v>31</v>
      </c>
      <c r="M30" s="203">
        <f>'P&amp;L new format'!R95</f>
        <v>34</v>
      </c>
      <c r="N30" s="235">
        <f>+'P&amp;L new format'!U95</f>
        <v>33.151009000000002</v>
      </c>
      <c r="O30" s="223">
        <f t="shared" ref="O30:Q30" si="207">N30+1</f>
        <v>34.151009000000002</v>
      </c>
      <c r="P30" s="223">
        <f t="shared" si="207"/>
        <v>35.151009000000002</v>
      </c>
      <c r="Q30" s="223">
        <f t="shared" si="207"/>
        <v>36.151009000000002</v>
      </c>
      <c r="S30" s="203">
        <f>SUM(B30:E30)</f>
        <v>90</v>
      </c>
      <c r="T30" s="203">
        <f>SUM(F30:I30)</f>
        <v>99</v>
      </c>
      <c r="U30" s="203">
        <f>SUM(J30:M30)</f>
        <v>122</v>
      </c>
      <c r="V30" s="203">
        <f>SUM(N30:Q30)</f>
        <v>138.60403600000001</v>
      </c>
      <c r="X30">
        <v>119</v>
      </c>
      <c r="Y30" s="203">
        <f>X30-V30</f>
        <v>-19.604036000000008</v>
      </c>
      <c r="AA30" s="90">
        <f>T30/S30-1</f>
        <v>0.10000000000000009</v>
      </c>
      <c r="AB30" s="90">
        <f t="shared" ref="AB30" si="208">U30/T30-1</f>
        <v>0.23232323232323226</v>
      </c>
      <c r="AC30" s="90">
        <f t="shared" ref="AC30" si="209">V30/U30-1</f>
        <v>0.13609865573770508</v>
      </c>
      <c r="AE30" s="207">
        <f>F30/B30-1</f>
        <v>0</v>
      </c>
      <c r="AF30" s="207">
        <f t="shared" ref="AF30" si="210">G30/C30-1</f>
        <v>0.13043478260869557</v>
      </c>
      <c r="AG30" s="207">
        <f t="shared" ref="AG30" si="211">H30/D30-1</f>
        <v>0.19047619047619047</v>
      </c>
      <c r="AH30" s="207">
        <f t="shared" ref="AH30" si="212">I30/E30-1</f>
        <v>8.6956521739130377E-2</v>
      </c>
      <c r="AI30" s="207">
        <f t="shared" ref="AI30" si="213">J30/F30-1</f>
        <v>0.21739130434782616</v>
      </c>
      <c r="AJ30" s="207">
        <f t="shared" ref="AJ30" si="214">K30/G30-1</f>
        <v>0.11538461538461542</v>
      </c>
      <c r="AK30" s="207">
        <f t="shared" ref="AK30" si="215">L30/H30-1</f>
        <v>0.24</v>
      </c>
      <c r="AL30" s="207">
        <f t="shared" ref="AL30" si="216">M30/I30-1</f>
        <v>0.3600000000000001</v>
      </c>
      <c r="AM30" s="207">
        <f t="shared" ref="AM30" si="217">N30/J30-1</f>
        <v>0.18396460714285712</v>
      </c>
      <c r="AN30" s="207">
        <f t="shared" ref="AN30" si="218">O30/K30-1</f>
        <v>0.17762100000000003</v>
      </c>
      <c r="AO30" s="207">
        <f t="shared" ref="AO30" si="219">P30/L30-1</f>
        <v>0.13390351612903229</v>
      </c>
      <c r="AP30" s="207">
        <f t="shared" ref="AP30" si="220">Q30/M30-1</f>
        <v>6.3264970588235325E-2</v>
      </c>
      <c r="AR30">
        <v>96</v>
      </c>
      <c r="AS30" s="90">
        <f>U30/AR30-1</f>
        <v>0.27083333333333326</v>
      </c>
    </row>
    <row r="31" spans="1:45">
      <c r="N31" s="221"/>
      <c r="O31" s="223"/>
      <c r="P31" s="223"/>
      <c r="Q31" s="223"/>
    </row>
    <row r="32" spans="1:45">
      <c r="A32" s="204" t="s">
        <v>70</v>
      </c>
      <c r="N32" s="221"/>
      <c r="O32" s="223"/>
      <c r="P32" s="223"/>
      <c r="Q32" s="223"/>
    </row>
    <row r="33" spans="1:45">
      <c r="A33" t="s">
        <v>14</v>
      </c>
      <c r="B33" s="203">
        <f>B3+B12+B21</f>
        <v>2081</v>
      </c>
      <c r="C33" s="203">
        <f t="shared" ref="C33:K33" si="221">C3+C12+C21</f>
        <v>2318</v>
      </c>
      <c r="D33" s="203">
        <f t="shared" si="221"/>
        <v>2378</v>
      </c>
      <c r="E33" s="203">
        <f t="shared" si="221"/>
        <v>2569</v>
      </c>
      <c r="F33" s="203">
        <f t="shared" si="221"/>
        <v>2302</v>
      </c>
      <c r="G33" s="203">
        <f t="shared" si="221"/>
        <v>2319</v>
      </c>
      <c r="H33" s="203">
        <f t="shared" si="221"/>
        <v>2578</v>
      </c>
      <c r="I33" s="203">
        <f t="shared" si="221"/>
        <v>2742</v>
      </c>
      <c r="J33" s="203">
        <f t="shared" si="221"/>
        <v>2291</v>
      </c>
      <c r="K33" s="203">
        <f t="shared" si="221"/>
        <v>2685</v>
      </c>
      <c r="L33" s="203">
        <f t="shared" ref="L33:M33" si="222">L3+L12+L21</f>
        <v>2883</v>
      </c>
      <c r="M33" s="203">
        <f t="shared" si="222"/>
        <v>3050</v>
      </c>
      <c r="N33" s="235">
        <f t="shared" ref="N33:Q33" si="223">N3+N12+N21</f>
        <v>2500.5261539999997</v>
      </c>
      <c r="O33" s="225">
        <f t="shared" si="223"/>
        <v>2856.6650455927052</v>
      </c>
      <c r="P33" s="225">
        <f t="shared" si="223"/>
        <v>3018.8051671732524</v>
      </c>
      <c r="Q33" s="225">
        <f t="shared" si="223"/>
        <v>3185.2148936170215</v>
      </c>
      <c r="S33" s="203">
        <f t="shared" ref="S33:V34" si="224">S3+S12+S21</f>
        <v>9346</v>
      </c>
      <c r="T33" s="203">
        <f t="shared" si="224"/>
        <v>9941</v>
      </c>
      <c r="U33" s="203">
        <f t="shared" si="224"/>
        <v>10909</v>
      </c>
      <c r="V33" s="203">
        <f t="shared" si="224"/>
        <v>11561.211260382977</v>
      </c>
      <c r="X33" s="203">
        <f>X3+X12+X21</f>
        <v>11537</v>
      </c>
      <c r="Y33" s="203">
        <f>X33-V33</f>
        <v>-24.211260382977343</v>
      </c>
      <c r="AA33" s="90">
        <f>T33/S33-1</f>
        <v>6.3663599400813231E-2</v>
      </c>
      <c r="AB33" s="90">
        <f t="shared" ref="AB33:AB34" si="225">U33/T33-1</f>
        <v>9.7374509606679371E-2</v>
      </c>
      <c r="AC33" s="90">
        <f t="shared" ref="AC33:AC34" si="226">V33/U33-1</f>
        <v>5.9786530422859752E-2</v>
      </c>
      <c r="AE33" s="207">
        <f>F33/B33-1</f>
        <v>0.10619894281595377</v>
      </c>
      <c r="AF33" s="207">
        <f t="shared" ref="AF33:AF34" si="227">G33/C33-1</f>
        <v>4.3140638481453664E-4</v>
      </c>
      <c r="AG33" s="207">
        <f t="shared" ref="AG33:AG34" si="228">H33/D33-1</f>
        <v>8.4104289318755354E-2</v>
      </c>
      <c r="AH33" s="207">
        <f t="shared" ref="AH33:AH34" si="229">I33/E33-1</f>
        <v>6.7341377968080929E-2</v>
      </c>
      <c r="AI33" s="207">
        <f t="shared" ref="AI33:AI34" si="230">J33/F33-1</f>
        <v>-4.7784535186794486E-3</v>
      </c>
      <c r="AJ33" s="207">
        <f t="shared" ref="AJ33:AJ34" si="231">K33/G33-1</f>
        <v>0.15782664941785263</v>
      </c>
      <c r="AK33" s="207">
        <f t="shared" ref="AK33:AK34" si="232">L33/H33-1</f>
        <v>0.1183087664856477</v>
      </c>
      <c r="AL33" s="207">
        <f t="shared" ref="AL33:AL34" si="233">M33/I33-1</f>
        <v>0.11232676878191095</v>
      </c>
      <c r="AM33" s="207">
        <f t="shared" ref="AM33:AM34" si="234">N33/J33-1</f>
        <v>9.1456199912701708E-2</v>
      </c>
      <c r="AN33" s="207">
        <f t="shared" ref="AN33:AN34" si="235">O33/K33-1</f>
        <v>6.3934840071770971E-2</v>
      </c>
      <c r="AO33" s="207">
        <f t="shared" ref="AO33:AO34" si="236">P33/L33-1</f>
        <v>4.7105503702133955E-2</v>
      </c>
      <c r="AP33" s="207">
        <f t="shared" ref="AP33:AP34" si="237">Q33/M33-1</f>
        <v>4.4332752005580733E-2</v>
      </c>
      <c r="AR33" s="203">
        <f t="shared" ref="AR33" si="238">AR3+AR12+AR21</f>
        <v>10624.7</v>
      </c>
      <c r="AS33" s="90">
        <f>U33/AR33-1</f>
        <v>2.67584025901908E-2</v>
      </c>
    </row>
    <row r="34" spans="1:45">
      <c r="A34" t="s">
        <v>15</v>
      </c>
      <c r="B34" s="203">
        <f>B4+B13+B22</f>
        <v>874</v>
      </c>
      <c r="C34" s="203">
        <f t="shared" ref="C34:K34" si="239">C4+C13+C22</f>
        <v>1041</v>
      </c>
      <c r="D34" s="203">
        <f t="shared" si="239"/>
        <v>1062</v>
      </c>
      <c r="E34" s="203">
        <f t="shared" si="239"/>
        <v>1108</v>
      </c>
      <c r="F34" s="203">
        <f t="shared" si="239"/>
        <v>973</v>
      </c>
      <c r="G34" s="203">
        <f t="shared" si="239"/>
        <v>995</v>
      </c>
      <c r="H34" s="203">
        <f t="shared" si="239"/>
        <v>1177</v>
      </c>
      <c r="I34" s="203">
        <f t="shared" si="239"/>
        <v>1221</v>
      </c>
      <c r="J34" s="203">
        <f t="shared" si="239"/>
        <v>973</v>
      </c>
      <c r="K34" s="203">
        <f t="shared" si="239"/>
        <v>1211</v>
      </c>
      <c r="L34" s="203">
        <f t="shared" ref="L34:M34" si="240">L4+L13+L22</f>
        <v>1276</v>
      </c>
      <c r="M34" s="203">
        <f t="shared" si="240"/>
        <v>1329</v>
      </c>
      <c r="N34" s="235">
        <f t="shared" ref="N34:Q34" si="241">N4+N13+N22</f>
        <v>996.48205999999993</v>
      </c>
      <c r="O34" s="225">
        <f t="shared" si="241"/>
        <v>1287.7480086893556</v>
      </c>
      <c r="P34" s="225">
        <f t="shared" si="241"/>
        <v>1344.0789283128167</v>
      </c>
      <c r="Q34" s="225">
        <f t="shared" si="241"/>
        <v>1414.1375814627081</v>
      </c>
      <c r="S34" s="203">
        <f t="shared" si="224"/>
        <v>4085</v>
      </c>
      <c r="T34" s="203">
        <f t="shared" si="224"/>
        <v>4366</v>
      </c>
      <c r="U34" s="203">
        <f t="shared" si="224"/>
        <v>4789</v>
      </c>
      <c r="V34" s="203">
        <f t="shared" si="224"/>
        <v>5042.446578464881</v>
      </c>
      <c r="X34" s="203">
        <f>X4+X13+X22</f>
        <v>5143</v>
      </c>
      <c r="Y34" s="203">
        <f>X34-V34</f>
        <v>100.55342153511901</v>
      </c>
      <c r="AA34" s="90">
        <f>T34/S34-1</f>
        <v>6.8788249694002435E-2</v>
      </c>
      <c r="AB34" s="90">
        <f t="shared" si="225"/>
        <v>9.6885020613834083E-2</v>
      </c>
      <c r="AC34" s="90">
        <f t="shared" si="226"/>
        <v>5.2922651590077363E-2</v>
      </c>
      <c r="AE34" s="207">
        <f>F34/B34-1</f>
        <v>0.11327231121281467</v>
      </c>
      <c r="AF34" s="207">
        <f t="shared" si="227"/>
        <v>-4.4188280499519728E-2</v>
      </c>
      <c r="AG34" s="207">
        <f t="shared" si="228"/>
        <v>0.10828625235404887</v>
      </c>
      <c r="AH34" s="207">
        <f t="shared" si="229"/>
        <v>0.1019855595667869</v>
      </c>
      <c r="AI34" s="207">
        <f t="shared" si="230"/>
        <v>0</v>
      </c>
      <c r="AJ34" s="207">
        <f t="shared" si="231"/>
        <v>0.21708542713567835</v>
      </c>
      <c r="AK34" s="207">
        <f t="shared" si="232"/>
        <v>8.4112149532710179E-2</v>
      </c>
      <c r="AL34" s="207">
        <f t="shared" si="233"/>
        <v>8.8452088452088518E-2</v>
      </c>
      <c r="AM34" s="207">
        <f t="shared" si="234"/>
        <v>2.4133669064748231E-2</v>
      </c>
      <c r="AN34" s="207">
        <f t="shared" si="235"/>
        <v>6.3375729718708307E-2</v>
      </c>
      <c r="AO34" s="207">
        <f t="shared" si="236"/>
        <v>5.3353392094684038E-2</v>
      </c>
      <c r="AP34" s="207">
        <f t="shared" si="237"/>
        <v>6.406138560023189E-2</v>
      </c>
      <c r="AR34" s="203">
        <f t="shared" ref="AR34" si="242">AR4+AR13+AR22</f>
        <v>4735.3</v>
      </c>
      <c r="AS34" s="90">
        <f>U34/AR34-1</f>
        <v>1.1340358583405541E-2</v>
      </c>
    </row>
    <row r="35" spans="1:45" s="26" customFormat="1">
      <c r="A35" s="206" t="s">
        <v>65</v>
      </c>
      <c r="B35" s="207">
        <f>B34/B33</f>
        <v>0.41999038923594428</v>
      </c>
      <c r="C35" s="207">
        <f t="shared" ref="C35:L35" si="243">C34/C33</f>
        <v>0.44909404659188956</v>
      </c>
      <c r="D35" s="207">
        <f t="shared" si="243"/>
        <v>0.44659377628259039</v>
      </c>
      <c r="E35" s="207">
        <f t="shared" si="243"/>
        <v>0.43129622421175556</v>
      </c>
      <c r="F35" s="207">
        <f t="shared" si="243"/>
        <v>0.42267593397046049</v>
      </c>
      <c r="G35" s="207">
        <f t="shared" si="243"/>
        <v>0.42906425183268648</v>
      </c>
      <c r="H35" s="207">
        <f t="shared" si="243"/>
        <v>0.45655546935608998</v>
      </c>
      <c r="I35" s="207">
        <f t="shared" si="243"/>
        <v>0.44529540481400437</v>
      </c>
      <c r="J35" s="207">
        <f t="shared" si="243"/>
        <v>0.42470536883457005</v>
      </c>
      <c r="K35" s="207">
        <f t="shared" si="243"/>
        <v>0.45102420856610803</v>
      </c>
      <c r="L35" s="207">
        <f t="shared" si="243"/>
        <v>0.44259451959764134</v>
      </c>
      <c r="M35" s="207">
        <f t="shared" ref="M35" si="244">M34/M33</f>
        <v>0.43573770491803276</v>
      </c>
      <c r="N35" s="236">
        <f t="shared" ref="N35" si="245">N34/N33</f>
        <v>0.39850895316810192</v>
      </c>
      <c r="O35" s="224">
        <f t="shared" ref="O35" si="246">O34/O33</f>
        <v>0.45078719000539025</v>
      </c>
      <c r="P35" s="224">
        <f t="shared" ref="P35" si="247">P34/P33</f>
        <v>0.44523540072358658</v>
      </c>
      <c r="Q35" s="224">
        <f t="shared" ref="Q35" si="248">Q34/Q33</f>
        <v>0.44396928580754613</v>
      </c>
      <c r="S35" s="207">
        <f>S34/S33</f>
        <v>0.43708538412154935</v>
      </c>
      <c r="T35" s="207">
        <f>T34/T33</f>
        <v>0.43919122824665524</v>
      </c>
      <c r="U35" s="207">
        <f>U34/U33</f>
        <v>0.43899532496104132</v>
      </c>
      <c r="V35" s="207">
        <f>V34/V33</f>
        <v>0.43615210075296595</v>
      </c>
      <c r="X35" s="207"/>
      <c r="AR35" s="207">
        <f>AR34/AR33</f>
        <v>0.445687878245974</v>
      </c>
    </row>
    <row r="36" spans="1:45">
      <c r="A36" t="s">
        <v>21</v>
      </c>
      <c r="B36" s="203">
        <f>B6+B15+B24+B30</f>
        <v>667</v>
      </c>
      <c r="C36" s="203">
        <f t="shared" ref="C36:K36" si="249">C6+C15+C24+C30</f>
        <v>689</v>
      </c>
      <c r="D36" s="203">
        <f t="shared" si="249"/>
        <v>648</v>
      </c>
      <c r="E36" s="203">
        <f t="shared" si="249"/>
        <v>700</v>
      </c>
      <c r="F36" s="203">
        <f t="shared" si="249"/>
        <v>745</v>
      </c>
      <c r="G36" s="203">
        <f t="shared" si="249"/>
        <v>707</v>
      </c>
      <c r="H36" s="203">
        <f t="shared" si="249"/>
        <v>676</v>
      </c>
      <c r="I36" s="203">
        <f t="shared" si="249"/>
        <v>716</v>
      </c>
      <c r="J36" s="203">
        <f t="shared" si="249"/>
        <v>733</v>
      </c>
      <c r="K36" s="203">
        <f t="shared" si="249"/>
        <v>746</v>
      </c>
      <c r="L36" s="203">
        <f t="shared" ref="L36:M36" si="250">L6+L15+L24+L30</f>
        <v>747</v>
      </c>
      <c r="M36" s="203">
        <f t="shared" si="250"/>
        <v>794</v>
      </c>
      <c r="N36" s="235">
        <f t="shared" ref="N36:Q36" si="251">N6+N15+N24+N30</f>
        <v>759.89155399999993</v>
      </c>
      <c r="O36" s="225">
        <f t="shared" si="251"/>
        <v>485.24993162487755</v>
      </c>
      <c r="P36" s="225">
        <f t="shared" si="251"/>
        <v>506.60742427913812</v>
      </c>
      <c r="Q36" s="225">
        <f t="shared" si="251"/>
        <v>497.49674847110674</v>
      </c>
      <c r="S36" s="203">
        <f>S6+S15+S24+S30</f>
        <v>2704</v>
      </c>
      <c r="T36" s="203">
        <f>T6+T15+T24+T30</f>
        <v>2844</v>
      </c>
      <c r="U36" s="203">
        <f>U6+U15+U24+U30</f>
        <v>3020</v>
      </c>
      <c r="V36" s="203">
        <f>V6+V15+V24+V30</f>
        <v>2249.2456583751223</v>
      </c>
      <c r="X36" s="203">
        <f>X6+X15+X24+X30</f>
        <v>3327</v>
      </c>
      <c r="Y36" s="203">
        <f>X36-V36</f>
        <v>1077.7543416248777</v>
      </c>
      <c r="AA36" s="90">
        <f>T36/S36-1</f>
        <v>5.177514792899407E-2</v>
      </c>
      <c r="AB36" s="90">
        <f t="shared" ref="AB36:AB37" si="252">U36/T36-1</f>
        <v>6.1884669479606247E-2</v>
      </c>
      <c r="AC36" s="90">
        <f t="shared" ref="AC36:AC37" si="253">V36/U36-1</f>
        <v>-0.25521666941221122</v>
      </c>
      <c r="AE36" s="207">
        <f>F36/B36-1</f>
        <v>0.11694152923538237</v>
      </c>
      <c r="AF36" s="207">
        <f t="shared" ref="AF36:AF37" si="254">G36/C36-1</f>
        <v>2.6124818577648812E-2</v>
      </c>
      <c r="AG36" s="207">
        <f t="shared" ref="AG36:AG37" si="255">H36/D36-1</f>
        <v>4.3209876543209846E-2</v>
      </c>
      <c r="AH36" s="207">
        <f t="shared" ref="AH36:AH37" si="256">I36/E36-1</f>
        <v>2.2857142857142909E-2</v>
      </c>
      <c r="AI36" s="207">
        <f t="shared" ref="AI36:AI37" si="257">J36/F36-1</f>
        <v>-1.6107382550335614E-2</v>
      </c>
      <c r="AJ36" s="207">
        <f t="shared" ref="AJ36:AJ37" si="258">K36/G36-1</f>
        <v>5.516265912305518E-2</v>
      </c>
      <c r="AK36" s="207">
        <f t="shared" ref="AK36:AK37" si="259">L36/H36-1</f>
        <v>0.1050295857988166</v>
      </c>
      <c r="AL36" s="207">
        <f t="shared" ref="AL36:AL37" si="260">M36/I36-1</f>
        <v>0.1089385474860336</v>
      </c>
      <c r="AM36" s="207">
        <f t="shared" ref="AM36:AM37" si="261">N36/J36-1</f>
        <v>3.668697680763966E-2</v>
      </c>
      <c r="AN36" s="207">
        <f t="shared" ref="AN36:AN37" si="262">O36/K36-1</f>
        <v>-0.34953092275485587</v>
      </c>
      <c r="AO36" s="207">
        <f t="shared" ref="AO36:AO37" si="263">P36/L36-1</f>
        <v>-0.32181067700249244</v>
      </c>
      <c r="AP36" s="207">
        <f t="shared" ref="AP36:AP37" si="264">Q36/M36-1</f>
        <v>-0.37342978781976477</v>
      </c>
      <c r="AR36" s="203">
        <f>AR6+AR15+AR24+AR30</f>
        <v>3095.4</v>
      </c>
      <c r="AS36" s="90">
        <f>U36/AR36-1</f>
        <v>-2.4358725851263197E-2</v>
      </c>
    </row>
    <row r="37" spans="1:45">
      <c r="A37" t="s">
        <v>25</v>
      </c>
      <c r="B37" s="203">
        <f>B34-B36</f>
        <v>207</v>
      </c>
      <c r="C37" s="203">
        <f t="shared" ref="C37:L37" si="265">C34-C36</f>
        <v>352</v>
      </c>
      <c r="D37" s="203">
        <f t="shared" si="265"/>
        <v>414</v>
      </c>
      <c r="E37" s="203">
        <f t="shared" si="265"/>
        <v>408</v>
      </c>
      <c r="F37" s="203">
        <f t="shared" si="265"/>
        <v>228</v>
      </c>
      <c r="G37" s="203">
        <f t="shared" si="265"/>
        <v>288</v>
      </c>
      <c r="H37" s="203">
        <f t="shared" si="265"/>
        <v>501</v>
      </c>
      <c r="I37" s="203">
        <f t="shared" si="265"/>
        <v>505</v>
      </c>
      <c r="J37" s="203">
        <f t="shared" si="265"/>
        <v>240</v>
      </c>
      <c r="K37" s="203">
        <f t="shared" si="265"/>
        <v>465</v>
      </c>
      <c r="L37" s="203">
        <f t="shared" si="265"/>
        <v>529</v>
      </c>
      <c r="M37" s="203">
        <f t="shared" ref="M37" si="266">M34-M36</f>
        <v>535</v>
      </c>
      <c r="N37" s="235">
        <f t="shared" ref="N37" si="267">N34-N36</f>
        <v>236.590506</v>
      </c>
      <c r="O37" s="225">
        <f t="shared" ref="O37" si="268">O34-O36</f>
        <v>802.49807706447814</v>
      </c>
      <c r="P37" s="225">
        <f t="shared" ref="P37" si="269">P34-P36</f>
        <v>837.47150403367868</v>
      </c>
      <c r="Q37" s="225">
        <f t="shared" ref="Q37" si="270">Q34-Q36</f>
        <v>916.64083299160143</v>
      </c>
      <c r="S37" s="203">
        <f>S34-S36</f>
        <v>1381</v>
      </c>
      <c r="T37" s="203">
        <f>T34-T36</f>
        <v>1522</v>
      </c>
      <c r="U37" s="203">
        <f>U34-U36</f>
        <v>1769</v>
      </c>
      <c r="V37" s="203">
        <f>V34-V36</f>
        <v>2793.2009200897587</v>
      </c>
      <c r="X37" s="203">
        <f>X34-X36</f>
        <v>1816</v>
      </c>
      <c r="Y37" s="203">
        <f>X37-V37</f>
        <v>-977.20092008975871</v>
      </c>
      <c r="AA37" s="90">
        <f>T37/S37-1</f>
        <v>0.10209992758870379</v>
      </c>
      <c r="AB37" s="90">
        <f t="shared" si="252"/>
        <v>0.16228646517739809</v>
      </c>
      <c r="AC37" s="90">
        <f t="shared" si="253"/>
        <v>0.57897169027120343</v>
      </c>
      <c r="AE37" s="207">
        <f>F37/B37-1</f>
        <v>0.10144927536231885</v>
      </c>
      <c r="AF37" s="207">
        <f t="shared" si="254"/>
        <v>-0.18181818181818177</v>
      </c>
      <c r="AG37" s="207">
        <f t="shared" si="255"/>
        <v>0.21014492753623193</v>
      </c>
      <c r="AH37" s="207">
        <f t="shared" si="256"/>
        <v>0.23774509803921573</v>
      </c>
      <c r="AI37" s="207">
        <f t="shared" si="257"/>
        <v>5.2631578947368363E-2</v>
      </c>
      <c r="AJ37" s="207">
        <f t="shared" si="258"/>
        <v>0.61458333333333326</v>
      </c>
      <c r="AK37" s="207">
        <f t="shared" si="259"/>
        <v>5.5888223552894134E-2</v>
      </c>
      <c r="AL37" s="207">
        <f t="shared" si="260"/>
        <v>5.9405940594059459E-2</v>
      </c>
      <c r="AM37" s="207">
        <f t="shared" si="261"/>
        <v>-1.4206225000000017E-2</v>
      </c>
      <c r="AN37" s="207">
        <f t="shared" si="262"/>
        <v>0.72580231626769498</v>
      </c>
      <c r="AO37" s="207">
        <f t="shared" si="263"/>
        <v>0.58312193579145299</v>
      </c>
      <c r="AP37" s="207">
        <f t="shared" si="264"/>
        <v>0.713347351386171</v>
      </c>
      <c r="AR37" s="203">
        <f>AR34-AR36</f>
        <v>1639.9</v>
      </c>
      <c r="AS37" s="90">
        <f>U37/AR37-1</f>
        <v>7.8724312458076762E-2</v>
      </c>
    </row>
    <row r="38" spans="1:45">
      <c r="A38" t="s">
        <v>66</v>
      </c>
      <c r="B38" s="90">
        <f>B37/B33</f>
        <v>9.947140797693417E-2</v>
      </c>
      <c r="C38" s="90">
        <f t="shared" ref="C38:L38" si="271">C37/C33</f>
        <v>0.15185504745470232</v>
      </c>
      <c r="D38" s="90">
        <f t="shared" si="271"/>
        <v>0.17409587888982339</v>
      </c>
      <c r="E38" s="90">
        <f t="shared" si="271"/>
        <v>0.15881666017905799</v>
      </c>
      <c r="F38" s="90">
        <f t="shared" si="271"/>
        <v>9.9044309296264121E-2</v>
      </c>
      <c r="G38" s="90">
        <f t="shared" si="271"/>
        <v>0.12419146183699871</v>
      </c>
      <c r="H38" s="90">
        <f t="shared" si="271"/>
        <v>0.1943366951124903</v>
      </c>
      <c r="I38" s="90">
        <f t="shared" si="271"/>
        <v>0.18417213712618527</v>
      </c>
      <c r="J38" s="90">
        <f t="shared" si="271"/>
        <v>0.10475774770842426</v>
      </c>
      <c r="K38" s="90">
        <f t="shared" si="271"/>
        <v>0.17318435754189945</v>
      </c>
      <c r="L38" s="90">
        <f t="shared" si="271"/>
        <v>0.18348942074228233</v>
      </c>
      <c r="M38" s="90">
        <f t="shared" ref="M38" si="272">M37/M33</f>
        <v>0.17540983606557378</v>
      </c>
      <c r="N38" s="237">
        <f t="shared" ref="N38" si="273">N37/N33</f>
        <v>9.4616289304366955E-2</v>
      </c>
      <c r="O38" s="226">
        <f t="shared" ref="O38" si="274">O37/O33</f>
        <v>0.28092130657830577</v>
      </c>
      <c r="P38" s="226">
        <f t="shared" ref="P38" si="275">P37/P33</f>
        <v>0.27741820278447116</v>
      </c>
      <c r="Q38" s="226">
        <f t="shared" ref="Q38" si="276">Q37/Q33</f>
        <v>0.28777990295992095</v>
      </c>
      <c r="S38" s="90">
        <f>S37/S33</f>
        <v>0.14776374919751764</v>
      </c>
      <c r="T38" s="90">
        <f>T37/T33</f>
        <v>0.1531033095262046</v>
      </c>
      <c r="U38" s="90">
        <f>U37/U33</f>
        <v>0.16215968466403888</v>
      </c>
      <c r="V38" s="90">
        <f>V37/V33</f>
        <v>0.2416010621362204</v>
      </c>
      <c r="X38" s="90"/>
      <c r="AR38" s="90">
        <f>AR37/AR33</f>
        <v>0.15434788746976386</v>
      </c>
    </row>
    <row r="39" spans="1:45" s="26" customFormat="1">
      <c r="A39" s="206" t="s">
        <v>67</v>
      </c>
      <c r="B39" s="207">
        <f>B36/B33</f>
        <v>0.32051898125901007</v>
      </c>
      <c r="C39" s="207">
        <f t="shared" ref="C39:Q39" si="277">C36/C33</f>
        <v>0.29723899913718721</v>
      </c>
      <c r="D39" s="207">
        <f t="shared" si="277"/>
        <v>0.27249789739276703</v>
      </c>
      <c r="E39" s="207">
        <f t="shared" si="277"/>
        <v>0.27247956403269757</v>
      </c>
      <c r="F39" s="207">
        <f t="shared" si="277"/>
        <v>0.32363162467419637</v>
      </c>
      <c r="G39" s="207">
        <f t="shared" si="277"/>
        <v>0.30487278999568779</v>
      </c>
      <c r="H39" s="207">
        <f t="shared" si="277"/>
        <v>0.26221877424359968</v>
      </c>
      <c r="I39" s="207">
        <f t="shared" si="277"/>
        <v>0.26112326768781913</v>
      </c>
      <c r="J39" s="207">
        <f t="shared" si="277"/>
        <v>0.31994762112614578</v>
      </c>
      <c r="K39" s="207">
        <f t="shared" si="277"/>
        <v>0.27783985102420855</v>
      </c>
      <c r="L39" s="207">
        <f t="shared" si="277"/>
        <v>0.25910509885535898</v>
      </c>
      <c r="M39" s="207">
        <f t="shared" si="277"/>
        <v>0.26032786885245901</v>
      </c>
      <c r="N39" s="236">
        <f t="shared" si="277"/>
        <v>0.30389266386373498</v>
      </c>
      <c r="O39" s="224">
        <f t="shared" si="277"/>
        <v>0.16986588342708453</v>
      </c>
      <c r="P39" s="224">
        <f t="shared" si="277"/>
        <v>0.16781719793911543</v>
      </c>
      <c r="Q39" s="224">
        <f t="shared" si="277"/>
        <v>0.15618938284762521</v>
      </c>
      <c r="S39" s="207"/>
      <c r="T39" s="207"/>
      <c r="U39" s="207"/>
      <c r="V39" s="207"/>
      <c r="X39" s="207"/>
    </row>
    <row r="41" spans="1:45">
      <c r="A41" t="s">
        <v>71</v>
      </c>
    </row>
    <row r="42" spans="1:45"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</row>
    <row r="43" spans="1:45">
      <c r="C43" s="203"/>
      <c r="D43" s="225" t="s">
        <v>72</v>
      </c>
      <c r="E43" s="225"/>
      <c r="F43" s="225"/>
      <c r="G43" s="225"/>
      <c r="H43" s="203"/>
      <c r="I43" s="203"/>
      <c r="J43" s="203"/>
      <c r="K43" s="203"/>
      <c r="L43" s="203"/>
      <c r="M43" s="203"/>
      <c r="N43" s="203">
        <f>+N33-'P&amp;L new format'!Y4</f>
        <v>-9687.497298000002</v>
      </c>
      <c r="O43" s="203" t="s">
        <v>73</v>
      </c>
      <c r="P43" s="203"/>
      <c r="Q43" s="203"/>
    </row>
    <row r="44" spans="1:45">
      <c r="N44" s="203">
        <f>+N34-'P&amp;L new format'!Y9</f>
        <v>-4056.0871850000017</v>
      </c>
    </row>
    <row r="45" spans="1:45">
      <c r="N45" s="203">
        <f>+N36-'P&amp;L new format'!Y12</f>
        <v>-2667.5335950000003</v>
      </c>
    </row>
    <row r="46" spans="1:45">
      <c r="E46" s="203"/>
      <c r="F46" s="203"/>
      <c r="G46" s="203"/>
      <c r="H46" s="203"/>
      <c r="I46" s="203"/>
      <c r="J46" s="203"/>
      <c r="K46" s="203"/>
      <c r="L46" s="203"/>
      <c r="M46" s="203"/>
      <c r="N46" s="203">
        <f>+N37-'P&amp;L new format'!U14</f>
        <v>4.3818000000101165E-2</v>
      </c>
      <c r="O46" s="203"/>
      <c r="P46" s="203"/>
      <c r="Q46" s="203"/>
    </row>
    <row r="52" spans="9:17">
      <c r="I52" s="203"/>
      <c r="J52" s="203"/>
      <c r="K52" s="203"/>
      <c r="L52" s="203"/>
      <c r="M52" s="203"/>
      <c r="N52" s="203"/>
      <c r="O52" s="203"/>
      <c r="P52" s="203"/>
      <c r="Q52" s="203"/>
    </row>
    <row r="93" spans="1:22">
      <c r="B93" s="202" t="s">
        <v>42</v>
      </c>
      <c r="C93" s="202" t="s">
        <v>43</v>
      </c>
      <c r="D93" s="202" t="s">
        <v>44</v>
      </c>
      <c r="E93" s="202" t="s">
        <v>45</v>
      </c>
      <c r="F93" s="202" t="s">
        <v>46</v>
      </c>
      <c r="G93" s="202" t="s">
        <v>47</v>
      </c>
      <c r="H93" s="202" t="s">
        <v>48</v>
      </c>
      <c r="I93" s="202" t="s">
        <v>49</v>
      </c>
      <c r="J93" s="202" t="s">
        <v>50</v>
      </c>
      <c r="K93" s="202" t="s">
        <v>51</v>
      </c>
      <c r="L93" s="202" t="s">
        <v>52</v>
      </c>
      <c r="M93" s="202" t="s">
        <v>1</v>
      </c>
      <c r="N93" s="202" t="s">
        <v>53</v>
      </c>
      <c r="O93" s="202" t="s">
        <v>54</v>
      </c>
      <c r="P93" s="202" t="s">
        <v>55</v>
      </c>
      <c r="Q93" s="202" t="s">
        <v>56</v>
      </c>
      <c r="S93" s="202" t="s">
        <v>57</v>
      </c>
      <c r="T93" s="202" t="s">
        <v>58</v>
      </c>
      <c r="U93" s="202" t="s">
        <v>59</v>
      </c>
      <c r="V93" s="202" t="s">
        <v>74</v>
      </c>
    </row>
    <row r="94" spans="1:22">
      <c r="A94" s="204" t="s">
        <v>62</v>
      </c>
      <c r="B94" s="202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</row>
    <row r="95" spans="1:22">
      <c r="A95" t="s">
        <v>14</v>
      </c>
      <c r="B95" s="203"/>
      <c r="C95" s="203"/>
      <c r="D95" s="203"/>
      <c r="E95" s="203">
        <f t="shared" ref="E95:Q96" si="278">SUM(B3:E3)</f>
        <v>4633</v>
      </c>
      <c r="F95" s="203">
        <f t="shared" si="278"/>
        <v>4759</v>
      </c>
      <c r="G95" s="203">
        <f t="shared" si="278"/>
        <v>4726</v>
      </c>
      <c r="H95" s="203">
        <f t="shared" si="278"/>
        <v>4775</v>
      </c>
      <c r="I95" s="203">
        <f t="shared" si="278"/>
        <v>4936</v>
      </c>
      <c r="J95" s="203">
        <f t="shared" si="278"/>
        <v>5132</v>
      </c>
      <c r="K95" s="203">
        <f t="shared" si="278"/>
        <v>5456</v>
      </c>
      <c r="L95" s="203">
        <f t="shared" si="278"/>
        <v>5683</v>
      </c>
      <c r="M95" s="203">
        <f t="shared" si="278"/>
        <v>5738</v>
      </c>
      <c r="N95" s="203">
        <f t="shared" si="278"/>
        <v>5767.4397869999993</v>
      </c>
      <c r="O95" s="203">
        <f t="shared" si="278"/>
        <v>5763.4397869999993</v>
      </c>
      <c r="P95" s="203">
        <f t="shared" si="278"/>
        <v>5799.4397869999993</v>
      </c>
      <c r="Q95" s="203">
        <f t="shared" si="278"/>
        <v>5968.4397869999993</v>
      </c>
      <c r="S95" s="90">
        <f>I95/E95-1</f>
        <v>6.5400388517159458E-2</v>
      </c>
      <c r="T95" s="90">
        <f>M95/I95-1</f>
        <v>0.16247974068071303</v>
      </c>
      <c r="U95" s="90">
        <f>Q95/M95-1</f>
        <v>4.016029749041472E-2</v>
      </c>
      <c r="V95" s="90">
        <f>Q95/E95-1</f>
        <v>0.28824515152169217</v>
      </c>
    </row>
    <row r="96" spans="1:22">
      <c r="A96" t="s">
        <v>15</v>
      </c>
      <c r="B96" s="203"/>
      <c r="C96" s="203"/>
      <c r="D96" s="203"/>
      <c r="E96" s="203">
        <f t="shared" si="278"/>
        <v>1928</v>
      </c>
      <c r="F96" s="203">
        <f t="shared" si="278"/>
        <v>1973</v>
      </c>
      <c r="G96" s="203">
        <f t="shared" si="278"/>
        <v>1910</v>
      </c>
      <c r="H96" s="203">
        <f t="shared" si="278"/>
        <v>1950</v>
      </c>
      <c r="I96" s="203">
        <f t="shared" si="278"/>
        <v>2042</v>
      </c>
      <c r="J96" s="203">
        <f t="shared" si="278"/>
        <v>2153</v>
      </c>
      <c r="K96" s="203">
        <f t="shared" si="278"/>
        <v>2348</v>
      </c>
      <c r="L96" s="203">
        <f t="shared" si="278"/>
        <v>2418</v>
      </c>
      <c r="M96" s="203">
        <f t="shared" si="278"/>
        <v>2412</v>
      </c>
      <c r="N96" s="203">
        <f t="shared" si="278"/>
        <v>2377.3179220000002</v>
      </c>
      <c r="O96" s="203">
        <f t="shared" si="278"/>
        <v>2356.3179220000002</v>
      </c>
      <c r="P96" s="203">
        <f t="shared" si="278"/>
        <v>2376.3179220000002</v>
      </c>
      <c r="Q96" s="203">
        <f t="shared" si="278"/>
        <v>2483.3179220000002</v>
      </c>
      <c r="S96" s="90">
        <f>I96/E96-1</f>
        <v>5.9128630705394203E-2</v>
      </c>
      <c r="T96" s="90">
        <f>M96/I96-1</f>
        <v>0.18119490695396667</v>
      </c>
      <c r="U96" s="90">
        <f>Q96/M96-1</f>
        <v>2.956796102819248E-2</v>
      </c>
      <c r="V96" s="90">
        <f>Q96/E96-1</f>
        <v>0.28802796784232365</v>
      </c>
    </row>
    <row r="97" spans="1:22">
      <c r="A97" s="206" t="s">
        <v>65</v>
      </c>
      <c r="B97" s="207"/>
      <c r="C97" s="207"/>
      <c r="D97" s="207"/>
      <c r="E97" s="207">
        <f t="shared" ref="E97" si="279">E96/E95</f>
        <v>0.4161450464062163</v>
      </c>
      <c r="F97" s="207">
        <f t="shared" ref="F97" si="280">F96/F95</f>
        <v>0.41458289556629546</v>
      </c>
      <c r="G97" s="207">
        <f t="shared" ref="G97" si="281">G96/G95</f>
        <v>0.40414727041895893</v>
      </c>
      <c r="H97" s="207">
        <f t="shared" ref="H97" si="282">H96/H95</f>
        <v>0.40837696335078533</v>
      </c>
      <c r="I97" s="207">
        <f t="shared" ref="I97" si="283">I96/I95</f>
        <v>0.41369529983792547</v>
      </c>
      <c r="J97" s="207">
        <f t="shared" ref="J97" si="284">J96/J95</f>
        <v>0.41952455183164461</v>
      </c>
      <c r="K97" s="207">
        <f t="shared" ref="K97" si="285">K96/K95</f>
        <v>0.43035190615835778</v>
      </c>
      <c r="L97" s="207">
        <f t="shared" ref="L97" si="286">L96/L95</f>
        <v>0.4254795002639451</v>
      </c>
      <c r="M97" s="207">
        <f t="shared" ref="M97" si="287">M96/M95</f>
        <v>0.42035552457302194</v>
      </c>
      <c r="N97" s="207">
        <f t="shared" ref="N97" si="288">N96/N95</f>
        <v>0.41219640079443109</v>
      </c>
      <c r="O97" s="207">
        <f t="shared" ref="O97" si="289">O96/O95</f>
        <v>0.40883882005931688</v>
      </c>
      <c r="P97" s="207">
        <f t="shared" ref="P97" si="290">P96/P95</f>
        <v>0.40974956362625659</v>
      </c>
      <c r="Q97" s="207">
        <f t="shared" ref="Q97" si="291">Q96/Q95</f>
        <v>0.41607488902023843</v>
      </c>
    </row>
    <row r="98" spans="1:22">
      <c r="A98" t="s">
        <v>21</v>
      </c>
      <c r="B98" s="203"/>
      <c r="C98" s="203"/>
      <c r="D98" s="203"/>
      <c r="E98" s="203">
        <f t="shared" ref="E98:Q98" si="292">SUM(B6:E6)</f>
        <v>1120</v>
      </c>
      <c r="F98" s="203">
        <f t="shared" si="292"/>
        <v>1153</v>
      </c>
      <c r="G98" s="203">
        <f t="shared" si="292"/>
        <v>1155</v>
      </c>
      <c r="H98" s="203">
        <f t="shared" si="292"/>
        <v>1149</v>
      </c>
      <c r="I98" s="203">
        <f t="shared" si="292"/>
        <v>1161</v>
      </c>
      <c r="J98" s="203">
        <f t="shared" si="292"/>
        <v>1167</v>
      </c>
      <c r="K98" s="203">
        <f t="shared" si="292"/>
        <v>1202</v>
      </c>
      <c r="L98" s="203">
        <f t="shared" si="292"/>
        <v>1251</v>
      </c>
      <c r="M98" s="203">
        <f t="shared" si="292"/>
        <v>1295</v>
      </c>
      <c r="N98" s="203">
        <f t="shared" si="292"/>
        <v>1309.003995</v>
      </c>
      <c r="O98" s="203">
        <f t="shared" si="292"/>
        <v>994.00399500000003</v>
      </c>
      <c r="P98" s="203">
        <f t="shared" si="292"/>
        <v>697.00399500000003</v>
      </c>
      <c r="Q98" s="203">
        <f t="shared" si="292"/>
        <v>361.00399499999997</v>
      </c>
      <c r="S98" s="90">
        <f>I98/E98-1</f>
        <v>3.6607142857142838E-2</v>
      </c>
      <c r="T98" s="90">
        <f>M98/I98-1</f>
        <v>0.1154177433247201</v>
      </c>
      <c r="U98" s="90">
        <f>Q98/M98-1</f>
        <v>-0.72123243629343636</v>
      </c>
      <c r="V98" s="90">
        <f>Q98/E98-1</f>
        <v>-0.67767500446428575</v>
      </c>
    </row>
    <row r="99" spans="1:22">
      <c r="A99" t="s">
        <v>25</v>
      </c>
      <c r="B99" s="203"/>
      <c r="C99" s="203"/>
      <c r="D99" s="203"/>
      <c r="E99" s="203">
        <f t="shared" ref="E99" si="293">E96-E98</f>
        <v>808</v>
      </c>
      <c r="F99" s="203">
        <f t="shared" ref="F99" si="294">F96-F98</f>
        <v>820</v>
      </c>
      <c r="G99" s="203">
        <f t="shared" ref="G99" si="295">G96-G98</f>
        <v>755</v>
      </c>
      <c r="H99" s="203">
        <f t="shared" ref="H99" si="296">H96-H98</f>
        <v>801</v>
      </c>
      <c r="I99" s="203">
        <f t="shared" ref="I99" si="297">I96-I98</f>
        <v>881</v>
      </c>
      <c r="J99" s="203">
        <f t="shared" ref="J99" si="298">J96-J98</f>
        <v>986</v>
      </c>
      <c r="K99" s="203">
        <f t="shared" ref="K99" si="299">K96-K98</f>
        <v>1146</v>
      </c>
      <c r="L99" s="203">
        <f t="shared" ref="L99" si="300">L96-L98</f>
        <v>1167</v>
      </c>
      <c r="M99" s="203">
        <f t="shared" ref="M99" si="301">M96-M98</f>
        <v>1117</v>
      </c>
      <c r="N99" s="203">
        <f t="shared" ref="N99" si="302">N96-N98</f>
        <v>1068.3139270000001</v>
      </c>
      <c r="O99" s="203">
        <f t="shared" ref="O99" si="303">O96-O98</f>
        <v>1362.3139270000001</v>
      </c>
      <c r="P99" s="203">
        <f t="shared" ref="P99" si="304">P96-P98</f>
        <v>1679.3139270000001</v>
      </c>
      <c r="Q99" s="203">
        <f t="shared" ref="Q99" si="305">Q96-Q98</f>
        <v>2122.3139270000001</v>
      </c>
      <c r="S99" s="90">
        <f>I99/E99-1</f>
        <v>9.0346534653465316E-2</v>
      </c>
      <c r="T99" s="90">
        <f>M99/I99-1</f>
        <v>0.26787741203178217</v>
      </c>
      <c r="U99" s="90">
        <f>Q99/M99-1</f>
        <v>0.9000124682184425</v>
      </c>
      <c r="V99" s="90">
        <f>Q99/E99-1</f>
        <v>1.6266261472772281</v>
      </c>
    </row>
    <row r="100" spans="1:22">
      <c r="A100" t="s">
        <v>66</v>
      </c>
      <c r="B100" s="90"/>
      <c r="C100" s="90"/>
      <c r="D100" s="90"/>
      <c r="E100" s="90">
        <f t="shared" ref="E100" si="306">E99/E95</f>
        <v>0.17440103604575868</v>
      </c>
      <c r="F100" s="90">
        <f t="shared" ref="F100" si="307">F99/F95</f>
        <v>0.17230510611472999</v>
      </c>
      <c r="G100" s="90">
        <f t="shared" ref="G100" si="308">G99/G95</f>
        <v>0.15975454930173508</v>
      </c>
      <c r="H100" s="90">
        <f t="shared" ref="H100" si="309">H99/H95</f>
        <v>0.16774869109947643</v>
      </c>
      <c r="I100" s="90">
        <f t="shared" ref="I100" si="310">I99/I95</f>
        <v>0.17848460291734197</v>
      </c>
      <c r="J100" s="90">
        <f t="shared" ref="J100" si="311">J99/J95</f>
        <v>0.19212782540919721</v>
      </c>
      <c r="K100" s="90">
        <f t="shared" ref="K100" si="312">K99/K95</f>
        <v>0.21004398826979473</v>
      </c>
      <c r="L100" s="90">
        <f t="shared" ref="L100" si="313">L99/L95</f>
        <v>0.20534928734823157</v>
      </c>
      <c r="M100" s="90">
        <f t="shared" ref="M100" si="314">M99/M95</f>
        <v>0.19466713140467062</v>
      </c>
      <c r="N100" s="90">
        <f t="shared" ref="N100" si="315">N99/N95</f>
        <v>0.18523191683908261</v>
      </c>
      <c r="O100" s="90">
        <f t="shared" ref="O100" si="316">O99/O95</f>
        <v>0.23637167687130733</v>
      </c>
      <c r="P100" s="90">
        <f t="shared" ref="P100" si="317">P99/P95</f>
        <v>0.28956485258530373</v>
      </c>
      <c r="Q100" s="90">
        <f t="shared" ref="Q100" si="318">Q99/Q95</f>
        <v>0.3555894007044626</v>
      </c>
    </row>
    <row r="101" spans="1:22">
      <c r="A101" s="206" t="s">
        <v>67</v>
      </c>
      <c r="B101" s="207"/>
      <c r="C101" s="207"/>
      <c r="D101" s="207"/>
      <c r="E101" s="207">
        <f t="shared" ref="E101:Q101" si="319">E98/E95</f>
        <v>0.24174401036045759</v>
      </c>
      <c r="F101" s="207">
        <f t="shared" si="319"/>
        <v>0.24227778945156545</v>
      </c>
      <c r="G101" s="207">
        <f t="shared" si="319"/>
        <v>0.24439272111722388</v>
      </c>
      <c r="H101" s="207">
        <f t="shared" si="319"/>
        <v>0.24062827225130889</v>
      </c>
      <c r="I101" s="207">
        <f t="shared" si="319"/>
        <v>0.23521069692058347</v>
      </c>
      <c r="J101" s="207">
        <f t="shared" si="319"/>
        <v>0.22739672642244738</v>
      </c>
      <c r="K101" s="207">
        <f t="shared" si="319"/>
        <v>0.22030791788856305</v>
      </c>
      <c r="L101" s="207">
        <f t="shared" si="319"/>
        <v>0.22013021291571352</v>
      </c>
      <c r="M101" s="207">
        <f t="shared" si="319"/>
        <v>0.22568839316835135</v>
      </c>
      <c r="N101" s="207">
        <f t="shared" si="319"/>
        <v>0.22696448395534852</v>
      </c>
      <c r="O101" s="207">
        <f t="shared" si="319"/>
        <v>0.17246714318800954</v>
      </c>
      <c r="P101" s="207">
        <f t="shared" si="319"/>
        <v>0.12018471104095284</v>
      </c>
      <c r="Q101" s="207">
        <f t="shared" si="319"/>
        <v>6.0485488315775819E-2</v>
      </c>
    </row>
    <row r="103" spans="1:22">
      <c r="A103" s="204" t="s">
        <v>27</v>
      </c>
      <c r="B103" s="203"/>
    </row>
    <row r="104" spans="1:22">
      <c r="A104" t="s">
        <v>14</v>
      </c>
      <c r="B104" s="203"/>
      <c r="C104" s="203"/>
      <c r="D104" s="203"/>
      <c r="E104" s="203">
        <f t="shared" ref="E104:Q105" si="320">SUM(B12:E12)</f>
        <v>1692</v>
      </c>
      <c r="F104" s="203">
        <f t="shared" si="320"/>
        <v>1745</v>
      </c>
      <c r="G104" s="203">
        <f t="shared" si="320"/>
        <v>1673</v>
      </c>
      <c r="H104" s="203">
        <f t="shared" si="320"/>
        <v>1669</v>
      </c>
      <c r="I104" s="203">
        <f t="shared" si="320"/>
        <v>1694</v>
      </c>
      <c r="J104" s="203">
        <f t="shared" si="320"/>
        <v>1527</v>
      </c>
      <c r="K104" s="203">
        <f t="shared" si="320"/>
        <v>1612</v>
      </c>
      <c r="L104" s="203">
        <f t="shared" si="320"/>
        <v>1688</v>
      </c>
      <c r="M104" s="203">
        <f t="shared" si="320"/>
        <v>1881</v>
      </c>
      <c r="N104" s="203">
        <f t="shared" si="320"/>
        <v>2052.438439</v>
      </c>
      <c r="O104" s="203">
        <f t="shared" si="320"/>
        <v>2166.438439</v>
      </c>
      <c r="P104" s="203">
        <f t="shared" si="320"/>
        <v>2203.938439</v>
      </c>
      <c r="Q104" s="203">
        <f t="shared" si="320"/>
        <v>2103.438439</v>
      </c>
      <c r="S104" s="90">
        <f>I104/E104-1</f>
        <v>1.1820330969267712E-3</v>
      </c>
      <c r="T104" s="90">
        <f>M104/I104-1</f>
        <v>0.11038961038961048</v>
      </c>
      <c r="U104" s="90">
        <f>Q104/M104-1</f>
        <v>0.11825541679957463</v>
      </c>
      <c r="V104" s="90">
        <f>Q104/E104-1</f>
        <v>0.24316692612293145</v>
      </c>
    </row>
    <row r="105" spans="1:22">
      <c r="A105" t="s">
        <v>15</v>
      </c>
      <c r="B105" s="203"/>
      <c r="C105" s="203"/>
      <c r="D105" s="203"/>
      <c r="E105" s="203">
        <f t="shared" si="320"/>
        <v>888</v>
      </c>
      <c r="F105" s="203">
        <f t="shared" si="320"/>
        <v>910</v>
      </c>
      <c r="G105" s="203">
        <f t="shared" si="320"/>
        <v>875</v>
      </c>
      <c r="H105" s="203">
        <f t="shared" si="320"/>
        <v>879</v>
      </c>
      <c r="I105" s="203">
        <f t="shared" si="320"/>
        <v>910</v>
      </c>
      <c r="J105" s="203">
        <f t="shared" si="320"/>
        <v>820</v>
      </c>
      <c r="K105" s="203">
        <f t="shared" si="320"/>
        <v>861</v>
      </c>
      <c r="L105" s="203">
        <f t="shared" si="320"/>
        <v>895</v>
      </c>
      <c r="M105" s="203">
        <f t="shared" si="320"/>
        <v>996</v>
      </c>
      <c r="N105" s="203">
        <f t="shared" si="320"/>
        <v>1073.1989920000001</v>
      </c>
      <c r="O105" s="203">
        <f t="shared" si="320"/>
        <v>1135.1989920000001</v>
      </c>
      <c r="P105" s="203">
        <f t="shared" si="320"/>
        <v>1148.1989920000001</v>
      </c>
      <c r="Q105" s="203">
        <f t="shared" si="320"/>
        <v>1088.1989920000001</v>
      </c>
      <c r="S105" s="90">
        <f>I105/E105-1</f>
        <v>2.4774774774774855E-2</v>
      </c>
      <c r="T105" s="90">
        <f>M105/I105-1</f>
        <v>9.4505494505494614E-2</v>
      </c>
      <c r="U105" s="90">
        <f>Q105/M105-1</f>
        <v>9.256926907630536E-2</v>
      </c>
      <c r="V105" s="90">
        <f>Q105/E105-1</f>
        <v>0.22544931531531542</v>
      </c>
    </row>
    <row r="106" spans="1:22">
      <c r="A106" s="206" t="s">
        <v>65</v>
      </c>
      <c r="B106" s="207"/>
      <c r="C106" s="207"/>
      <c r="D106" s="207"/>
      <c r="E106" s="207">
        <f t="shared" ref="E106" si="321">E105/E104</f>
        <v>0.52482269503546097</v>
      </c>
      <c r="F106" s="207">
        <f t="shared" ref="F106" si="322">F105/F104</f>
        <v>0.52148997134670483</v>
      </c>
      <c r="G106" s="207">
        <f t="shared" ref="G106" si="323">G105/G104</f>
        <v>0.52301255230125521</v>
      </c>
      <c r="H106" s="207">
        <f t="shared" ref="H106" si="324">H105/H104</f>
        <v>0.52666267225883767</v>
      </c>
      <c r="I106" s="207">
        <f t="shared" ref="I106" si="325">I105/I104</f>
        <v>0.53719008264462809</v>
      </c>
      <c r="J106" s="207">
        <f t="shared" ref="J106" si="326">J105/J104</f>
        <v>0.53700065487884741</v>
      </c>
      <c r="K106" s="207">
        <f t="shared" ref="K106" si="327">K105/K104</f>
        <v>0.53411910669975182</v>
      </c>
      <c r="L106" s="207">
        <f t="shared" ref="L106" si="328">L105/L104</f>
        <v>0.53021327014218012</v>
      </c>
      <c r="M106" s="207">
        <f t="shared" ref="M106" si="329">M105/M104</f>
        <v>0.52950558213716103</v>
      </c>
      <c r="N106" s="207">
        <f t="shared" ref="N106" si="330">N105/N104</f>
        <v>0.52288973525699989</v>
      </c>
      <c r="O106" s="207">
        <f t="shared" ref="O106" si="331">O105/O104</f>
        <v>0.52399319157390567</v>
      </c>
      <c r="P106" s="207">
        <f t="shared" ref="P106" si="332">P105/P104</f>
        <v>0.52097598176153048</v>
      </c>
      <c r="Q106" s="207">
        <f t="shared" ref="Q106" si="333">Q105/Q104</f>
        <v>0.51734292376882829</v>
      </c>
    </row>
    <row r="107" spans="1:22">
      <c r="A107" t="s">
        <v>21</v>
      </c>
      <c r="B107" s="203"/>
      <c r="C107" s="203"/>
      <c r="D107" s="203"/>
      <c r="E107" s="203">
        <f t="shared" ref="E107:Q107" si="334">SUM(B15:E15)</f>
        <v>503</v>
      </c>
      <c r="F107" s="203">
        <f t="shared" si="334"/>
        <v>520</v>
      </c>
      <c r="G107" s="203">
        <f t="shared" si="334"/>
        <v>529</v>
      </c>
      <c r="H107" s="203">
        <f t="shared" si="334"/>
        <v>531</v>
      </c>
      <c r="I107" s="203">
        <f t="shared" si="334"/>
        <v>534</v>
      </c>
      <c r="J107" s="203">
        <f t="shared" si="334"/>
        <v>533</v>
      </c>
      <c r="K107" s="203">
        <f t="shared" si="334"/>
        <v>544</v>
      </c>
      <c r="L107" s="203">
        <f t="shared" si="334"/>
        <v>557</v>
      </c>
      <c r="M107" s="203">
        <f t="shared" si="334"/>
        <v>582</v>
      </c>
      <c r="N107" s="203">
        <f t="shared" si="334"/>
        <v>592.26863500000002</v>
      </c>
      <c r="O107" s="203">
        <f t="shared" si="334"/>
        <v>610.26863500000002</v>
      </c>
      <c r="P107" s="203">
        <f t="shared" si="334"/>
        <v>630.26863500000002</v>
      </c>
      <c r="Q107" s="203">
        <f t="shared" si="334"/>
        <v>636.26863500000002</v>
      </c>
      <c r="S107" s="90">
        <f>I107/E107-1</f>
        <v>6.1630218687872773E-2</v>
      </c>
      <c r="T107" s="90">
        <f>M107/I107-1</f>
        <v>8.98876404494382E-2</v>
      </c>
      <c r="U107" s="90">
        <f>Q107/M107-1</f>
        <v>9.3245077319587644E-2</v>
      </c>
      <c r="V107" s="90">
        <f>Q107/E107-1</f>
        <v>0.26494758449304179</v>
      </c>
    </row>
    <row r="108" spans="1:22">
      <c r="A108" t="s">
        <v>25</v>
      </c>
      <c r="B108" s="203"/>
      <c r="C108" s="203"/>
      <c r="D108" s="203"/>
      <c r="E108" s="203">
        <f t="shared" ref="E108" si="335">E105-E107</f>
        <v>385</v>
      </c>
      <c r="F108" s="203">
        <f t="shared" ref="F108" si="336">F105-F107</f>
        <v>390</v>
      </c>
      <c r="G108" s="203">
        <f t="shared" ref="G108" si="337">G105-G107</f>
        <v>346</v>
      </c>
      <c r="H108" s="203">
        <f t="shared" ref="H108" si="338">H105-H107</f>
        <v>348</v>
      </c>
      <c r="I108" s="203">
        <f t="shared" ref="I108" si="339">I105-I107</f>
        <v>376</v>
      </c>
      <c r="J108" s="203">
        <f t="shared" ref="J108" si="340">J105-J107</f>
        <v>287</v>
      </c>
      <c r="K108" s="203">
        <f t="shared" ref="K108" si="341">K105-K107</f>
        <v>317</v>
      </c>
      <c r="L108" s="203">
        <f t="shared" ref="L108" si="342">L105-L107</f>
        <v>338</v>
      </c>
      <c r="M108" s="203">
        <f t="shared" ref="M108" si="343">M105-M107</f>
        <v>414</v>
      </c>
      <c r="N108" s="203">
        <f t="shared" ref="N108" si="344">N105-N107</f>
        <v>480.93035700000007</v>
      </c>
      <c r="O108" s="203">
        <f t="shared" ref="O108" si="345">O105-O107</f>
        <v>524.93035700000007</v>
      </c>
      <c r="P108" s="203">
        <f t="shared" ref="P108" si="346">P105-P107</f>
        <v>517.93035700000007</v>
      </c>
      <c r="Q108" s="203">
        <f t="shared" ref="Q108" si="347">Q105-Q107</f>
        <v>451.93035700000007</v>
      </c>
      <c r="S108" s="90">
        <f>I108/E108-1</f>
        <v>-2.3376623376623384E-2</v>
      </c>
      <c r="T108" s="90">
        <f>M108/I108-1</f>
        <v>0.10106382978723394</v>
      </c>
      <c r="U108" s="90">
        <f>Q108/M108-1</f>
        <v>9.1619219806763352E-2</v>
      </c>
      <c r="V108" s="90">
        <f>Q108/E108-1</f>
        <v>0.1738450831168834</v>
      </c>
    </row>
    <row r="109" spans="1:22">
      <c r="A109" t="s">
        <v>66</v>
      </c>
      <c r="B109" s="90"/>
      <c r="C109" s="90"/>
      <c r="D109" s="90"/>
      <c r="E109" s="90">
        <f t="shared" ref="E109" si="348">E108/E104</f>
        <v>0.22754137115839243</v>
      </c>
      <c r="F109" s="90">
        <f t="shared" ref="F109" si="349">F108/F104</f>
        <v>0.22349570200573066</v>
      </c>
      <c r="G109" s="90">
        <f t="shared" ref="G109" si="350">G108/G104</f>
        <v>0.20681410639569636</v>
      </c>
      <c r="H109" s="90">
        <f t="shared" ref="H109" si="351">H108/H104</f>
        <v>0.2085080886758538</v>
      </c>
      <c r="I109" s="90">
        <f t="shared" ref="I109" si="352">I108/I104</f>
        <v>0.22195985832349469</v>
      </c>
      <c r="J109" s="90">
        <f t="shared" ref="J109" si="353">J108/J104</f>
        <v>0.1879502292075966</v>
      </c>
      <c r="K109" s="90">
        <f t="shared" ref="K109" si="354">K108/K104</f>
        <v>0.1966501240694789</v>
      </c>
      <c r="L109" s="90">
        <f t="shared" ref="L109" si="355">L108/L104</f>
        <v>0.20023696682464456</v>
      </c>
      <c r="M109" s="90">
        <f t="shared" ref="M109" si="356">M108/M104</f>
        <v>0.22009569377990432</v>
      </c>
      <c r="N109" s="90">
        <f t="shared" ref="N109" si="357">N108/N104</f>
        <v>0.23432145289303855</v>
      </c>
      <c r="O109" s="90">
        <f t="shared" ref="O109" si="358">O108/O104</f>
        <v>0.24230107237309781</v>
      </c>
      <c r="P109" s="90">
        <f t="shared" ref="P109" si="359">P108/P104</f>
        <v>0.23500218873400214</v>
      </c>
      <c r="Q109" s="90">
        <f t="shared" ref="Q109" si="360">Q108/Q104</f>
        <v>0.2148531417039489</v>
      </c>
    </row>
    <row r="110" spans="1:22">
      <c r="A110" s="206" t="s">
        <v>67</v>
      </c>
      <c r="B110" s="207"/>
      <c r="C110" s="207"/>
      <c r="D110" s="207"/>
      <c r="E110" s="207">
        <f t="shared" ref="E110:Q110" si="361">E107/E104</f>
        <v>0.29728132387706857</v>
      </c>
      <c r="F110" s="207">
        <f t="shared" si="361"/>
        <v>0.29799426934097423</v>
      </c>
      <c r="G110" s="207">
        <f t="shared" si="361"/>
        <v>0.3161984459055589</v>
      </c>
      <c r="H110" s="207">
        <f t="shared" si="361"/>
        <v>0.31815458358298382</v>
      </c>
      <c r="I110" s="207">
        <f t="shared" si="361"/>
        <v>0.3152302243211334</v>
      </c>
      <c r="J110" s="207">
        <f t="shared" si="361"/>
        <v>0.34905042567125083</v>
      </c>
      <c r="K110" s="207">
        <f t="shared" si="361"/>
        <v>0.33746898263027297</v>
      </c>
      <c r="L110" s="207">
        <f t="shared" si="361"/>
        <v>0.32997630331753552</v>
      </c>
      <c r="M110" s="207">
        <f t="shared" si="361"/>
        <v>0.3094098883572568</v>
      </c>
      <c r="N110" s="207">
        <f t="shared" si="361"/>
        <v>0.28856828236396131</v>
      </c>
      <c r="O110" s="207">
        <f t="shared" si="361"/>
        <v>0.28169211920080783</v>
      </c>
      <c r="P110" s="207">
        <f t="shared" si="361"/>
        <v>0.2859737930275284</v>
      </c>
      <c r="Q110" s="207">
        <f t="shared" si="361"/>
        <v>0.30248978206487936</v>
      </c>
    </row>
    <row r="111" spans="1:22">
      <c r="B111" s="203"/>
    </row>
    <row r="112" spans="1:22">
      <c r="A112" s="204" t="s">
        <v>68</v>
      </c>
      <c r="B112" s="203"/>
    </row>
    <row r="113" spans="1:44">
      <c r="A113" t="s">
        <v>14</v>
      </c>
      <c r="B113" s="203"/>
      <c r="C113" s="203"/>
      <c r="D113" s="203"/>
      <c r="E113" s="203">
        <f t="shared" ref="E113:Q114" si="362">SUM(B21:E21)</f>
        <v>3021</v>
      </c>
      <c r="F113" s="203">
        <f t="shared" si="362"/>
        <v>3063</v>
      </c>
      <c r="G113" s="203">
        <f t="shared" si="362"/>
        <v>3169</v>
      </c>
      <c r="H113" s="203">
        <f t="shared" si="362"/>
        <v>3324</v>
      </c>
      <c r="I113" s="203">
        <f t="shared" si="362"/>
        <v>3311</v>
      </c>
      <c r="J113" s="203">
        <f t="shared" si="362"/>
        <v>3271</v>
      </c>
      <c r="K113" s="203">
        <f t="shared" si="362"/>
        <v>3228</v>
      </c>
      <c r="L113" s="203">
        <f t="shared" si="362"/>
        <v>3230</v>
      </c>
      <c r="M113" s="203">
        <f t="shared" si="362"/>
        <v>3290</v>
      </c>
      <c r="N113" s="203">
        <f t="shared" si="362"/>
        <v>3298.6479279999999</v>
      </c>
      <c r="O113" s="203">
        <f t="shared" si="362"/>
        <v>3360.312973592705</v>
      </c>
      <c r="P113" s="203">
        <f t="shared" si="362"/>
        <v>3422.6181407659574</v>
      </c>
      <c r="Q113" s="203">
        <f t="shared" si="362"/>
        <v>3489.3330343829789</v>
      </c>
      <c r="S113" s="90">
        <f>I113/E113-1</f>
        <v>9.5994703740483356E-2</v>
      </c>
      <c r="T113" s="90">
        <f>M113/I113-1</f>
        <v>-6.3424947145876986E-3</v>
      </c>
      <c r="U113" s="90">
        <f>Q113/M113-1</f>
        <v>6.0587548444674511E-2</v>
      </c>
      <c r="V113" s="90">
        <f>Q113/E113-1</f>
        <v>0.1550258306464678</v>
      </c>
    </row>
    <row r="114" spans="1:44">
      <c r="A114" t="s">
        <v>15</v>
      </c>
      <c r="B114" s="203"/>
      <c r="C114" s="203"/>
      <c r="D114" s="203"/>
      <c r="E114" s="203">
        <f t="shared" si="362"/>
        <v>1269</v>
      </c>
      <c r="F114" s="203">
        <f t="shared" si="362"/>
        <v>1301</v>
      </c>
      <c r="G114" s="203">
        <f t="shared" si="362"/>
        <v>1353</v>
      </c>
      <c r="H114" s="203">
        <f t="shared" si="362"/>
        <v>1424</v>
      </c>
      <c r="I114" s="203">
        <f t="shared" si="362"/>
        <v>1414</v>
      </c>
      <c r="J114" s="203">
        <f t="shared" si="362"/>
        <v>1393</v>
      </c>
      <c r="K114" s="203">
        <f t="shared" si="362"/>
        <v>1373</v>
      </c>
      <c r="L114" s="203">
        <f t="shared" si="362"/>
        <v>1368</v>
      </c>
      <c r="M114" s="203">
        <f t="shared" si="362"/>
        <v>1381</v>
      </c>
      <c r="N114" s="203">
        <f t="shared" si="362"/>
        <v>1361.965146</v>
      </c>
      <c r="O114" s="203">
        <f t="shared" si="362"/>
        <v>1397.7131546893556</v>
      </c>
      <c r="P114" s="203">
        <f t="shared" si="362"/>
        <v>1432.7920830021724</v>
      </c>
      <c r="Q114" s="203">
        <f t="shared" si="362"/>
        <v>1470.9296644648805</v>
      </c>
      <c r="S114" s="90">
        <f>I114/E114-1</f>
        <v>0.1142631993695824</v>
      </c>
      <c r="T114" s="90">
        <f>M114/I114-1</f>
        <v>-2.3338048090523311E-2</v>
      </c>
      <c r="U114" s="90">
        <f>Q114/M114-1</f>
        <v>6.5119235673338549E-2</v>
      </c>
      <c r="V114" s="90">
        <f>Q114/E114-1</f>
        <v>0.15912503109919651</v>
      </c>
    </row>
    <row r="115" spans="1:44">
      <c r="A115" s="206" t="s">
        <v>65</v>
      </c>
      <c r="B115" s="207"/>
      <c r="C115" s="207"/>
      <c r="D115" s="207"/>
      <c r="E115" s="207">
        <f t="shared" ref="E115" si="363">E114/E113</f>
        <v>0.42005958291956308</v>
      </c>
      <c r="F115" s="207">
        <f t="shared" ref="F115" si="364">F114/F113</f>
        <v>0.4247469800848841</v>
      </c>
      <c r="G115" s="207">
        <f t="shared" ref="G115" si="365">G114/G113</f>
        <v>0.42694856421584099</v>
      </c>
      <c r="H115" s="207">
        <f t="shared" ref="H115" si="366">H114/H113</f>
        <v>0.42839951865222625</v>
      </c>
      <c r="I115" s="207">
        <f t="shared" ref="I115" si="367">I114/I113</f>
        <v>0.42706131078224102</v>
      </c>
      <c r="J115" s="207">
        <f t="shared" ref="J115" si="368">J114/J113</f>
        <v>0.42586365025985939</v>
      </c>
      <c r="K115" s="207">
        <f t="shared" ref="K115" si="369">K114/K113</f>
        <v>0.42534076827757122</v>
      </c>
      <c r="L115" s="207">
        <f t="shared" ref="L115" si="370">L114/L113</f>
        <v>0.42352941176470588</v>
      </c>
      <c r="M115" s="207">
        <f t="shared" ref="M115" si="371">M114/M113</f>
        <v>0.41975683890577509</v>
      </c>
      <c r="N115" s="207">
        <f t="shared" ref="N115" si="372">N114/N113</f>
        <v>0.4128858780105617</v>
      </c>
      <c r="O115" s="207">
        <f t="shared" ref="O115" si="373">O114/O113</f>
        <v>0.41594731373934485</v>
      </c>
      <c r="P115" s="207">
        <f t="shared" ref="P115" si="374">P114/P113</f>
        <v>0.41862458038673395</v>
      </c>
      <c r="Q115" s="207">
        <f t="shared" ref="Q115" si="375">Q114/Q113</f>
        <v>0.42155037939076684</v>
      </c>
    </row>
    <row r="116" spans="1:44">
      <c r="A116" t="s">
        <v>21</v>
      </c>
      <c r="B116" s="203"/>
      <c r="C116" s="203"/>
      <c r="D116" s="203"/>
      <c r="E116" s="203">
        <f t="shared" ref="E116:Q116" si="376">SUM(B24:E24)</f>
        <v>991</v>
      </c>
      <c r="F116" s="203">
        <f t="shared" si="376"/>
        <v>1019</v>
      </c>
      <c r="G116" s="203">
        <f t="shared" si="376"/>
        <v>1023</v>
      </c>
      <c r="H116" s="203">
        <f t="shared" si="376"/>
        <v>1051</v>
      </c>
      <c r="I116" s="203">
        <f t="shared" si="376"/>
        <v>1050</v>
      </c>
      <c r="J116" s="203">
        <f t="shared" si="376"/>
        <v>1028</v>
      </c>
      <c r="K116" s="203">
        <f t="shared" si="376"/>
        <v>1018</v>
      </c>
      <c r="L116" s="203">
        <f t="shared" si="376"/>
        <v>1021</v>
      </c>
      <c r="M116" s="203">
        <f t="shared" si="376"/>
        <v>1021</v>
      </c>
      <c r="N116" s="203">
        <f t="shared" si="376"/>
        <v>1018.4679149999999</v>
      </c>
      <c r="O116" s="203">
        <f t="shared" si="376"/>
        <v>1049.5668376248775</v>
      </c>
      <c r="P116" s="203">
        <f t="shared" si="376"/>
        <v>1082.0232529040156</v>
      </c>
      <c r="Q116" s="203">
        <f t="shared" si="376"/>
        <v>1113.3689923751224</v>
      </c>
      <c r="S116" s="90">
        <f>I116/E116-1</f>
        <v>5.953582240161448E-2</v>
      </c>
      <c r="T116" s="90">
        <f>M116/I116-1</f>
        <v>-2.7619047619047654E-2</v>
      </c>
      <c r="U116" s="90">
        <f>Q116/M116-1</f>
        <v>9.0469140426172823E-2</v>
      </c>
      <c r="V116" s="90">
        <f>Q116/E116-1</f>
        <v>0.12348031521203073</v>
      </c>
    </row>
    <row r="117" spans="1:44">
      <c r="A117" t="s">
        <v>25</v>
      </c>
      <c r="B117" s="203"/>
      <c r="C117" s="203"/>
      <c r="D117" s="203"/>
      <c r="E117" s="203">
        <f t="shared" ref="E117" si="377">E114-E116</f>
        <v>278</v>
      </c>
      <c r="F117" s="203">
        <f t="shared" ref="F117" si="378">F114-F116</f>
        <v>282</v>
      </c>
      <c r="G117" s="203">
        <f t="shared" ref="G117" si="379">G114-G116</f>
        <v>330</v>
      </c>
      <c r="H117" s="203">
        <f t="shared" ref="H117" si="380">H114-H116</f>
        <v>373</v>
      </c>
      <c r="I117" s="203">
        <f t="shared" ref="I117" si="381">I114-I116</f>
        <v>364</v>
      </c>
      <c r="J117" s="203">
        <f t="shared" ref="J117" si="382">J114-J116</f>
        <v>365</v>
      </c>
      <c r="K117" s="203">
        <f t="shared" ref="K117" si="383">K114-K116</f>
        <v>355</v>
      </c>
      <c r="L117" s="203">
        <f t="shared" ref="L117" si="384">L114-L116</f>
        <v>347</v>
      </c>
      <c r="M117" s="203">
        <f t="shared" ref="M117" si="385">M114-M116</f>
        <v>360</v>
      </c>
      <c r="N117" s="203">
        <f t="shared" ref="N117" si="386">N114-N116</f>
        <v>343.49723100000006</v>
      </c>
      <c r="O117" s="203">
        <f t="shared" ref="O117" si="387">O114-O116</f>
        <v>348.14631706447813</v>
      </c>
      <c r="P117" s="203">
        <f t="shared" ref="P117" si="388">P114-P116</f>
        <v>350.76883009815674</v>
      </c>
      <c r="Q117" s="203">
        <f t="shared" ref="Q117" si="389">Q114-Q116</f>
        <v>357.5606720897581</v>
      </c>
      <c r="S117" s="90">
        <f>I117/E117-1</f>
        <v>0.30935251798561159</v>
      </c>
      <c r="T117" s="90">
        <f>M117/I117-1</f>
        <v>-1.098901098901095E-2</v>
      </c>
      <c r="U117" s="90">
        <f>Q117/M117-1</f>
        <v>-6.7759108617830854E-3</v>
      </c>
      <c r="V117" s="90">
        <f>Q117/E117-1</f>
        <v>0.2861894679487702</v>
      </c>
    </row>
    <row r="118" spans="1:44">
      <c r="A118" t="s">
        <v>66</v>
      </c>
      <c r="B118" s="90"/>
      <c r="C118" s="90"/>
      <c r="D118" s="90"/>
      <c r="E118" s="90">
        <f t="shared" ref="E118" si="390">E117/E113</f>
        <v>9.2022509102946043E-2</v>
      </c>
      <c r="F118" s="90">
        <f t="shared" ref="F118" si="391">F117/F113</f>
        <v>9.2066601371204704E-2</v>
      </c>
      <c r="G118" s="90">
        <f t="shared" ref="G118" si="392">G117/G113</f>
        <v>0.10413379615020511</v>
      </c>
      <c r="H118" s="90">
        <f t="shared" ref="H118" si="393">H117/H113</f>
        <v>0.11221419975932612</v>
      </c>
      <c r="I118" s="90">
        <f t="shared" ref="I118" si="394">I117/I113</f>
        <v>0.10993657505285412</v>
      </c>
      <c r="J118" s="90">
        <f t="shared" ref="J118" si="395">J117/J113</f>
        <v>0.11158667074289208</v>
      </c>
      <c r="K118" s="90">
        <f t="shared" ref="K118" si="396">K117/K113</f>
        <v>0.10997521685254028</v>
      </c>
      <c r="L118" s="90">
        <f t="shared" ref="L118" si="397">L117/L113</f>
        <v>0.10743034055727554</v>
      </c>
      <c r="M118" s="90">
        <f t="shared" ref="M118" si="398">M117/M113</f>
        <v>0.10942249240121581</v>
      </c>
      <c r="N118" s="90">
        <f t="shared" ref="N118" si="399">N117/N113</f>
        <v>0.10413273513801927</v>
      </c>
      <c r="O118" s="90">
        <f t="shared" ref="O118" si="400">O117/O113</f>
        <v>0.10360532480171178</v>
      </c>
      <c r="P118" s="90">
        <f t="shared" ref="P118" si="401">P117/P113</f>
        <v>0.10248552881790582</v>
      </c>
      <c r="Q118" s="90">
        <f t="shared" ref="Q118" si="402">Q117/Q113</f>
        <v>0.10247249791477293</v>
      </c>
    </row>
    <row r="119" spans="1:44">
      <c r="A119" s="206" t="s">
        <v>67</v>
      </c>
      <c r="B119" s="207"/>
      <c r="C119" s="207"/>
      <c r="D119" s="207"/>
      <c r="E119" s="207">
        <f t="shared" ref="E119:Q119" si="403">E116/E113</f>
        <v>0.32803707381661701</v>
      </c>
      <c r="F119" s="207">
        <f t="shared" si="403"/>
        <v>0.33268037871367939</v>
      </c>
      <c r="G119" s="207">
        <f t="shared" si="403"/>
        <v>0.32281476806563586</v>
      </c>
      <c r="H119" s="207">
        <f t="shared" si="403"/>
        <v>0.31618531889290014</v>
      </c>
      <c r="I119" s="207">
        <f t="shared" si="403"/>
        <v>0.31712473572938688</v>
      </c>
      <c r="J119" s="207">
        <f t="shared" si="403"/>
        <v>0.31427697951696731</v>
      </c>
      <c r="K119" s="207">
        <f t="shared" si="403"/>
        <v>0.31536555142503098</v>
      </c>
      <c r="L119" s="207">
        <f t="shared" si="403"/>
        <v>0.31609907120743036</v>
      </c>
      <c r="M119" s="207">
        <f t="shared" si="403"/>
        <v>0.31033434650455927</v>
      </c>
      <c r="N119" s="207">
        <f t="shared" si="403"/>
        <v>0.30875314287254241</v>
      </c>
      <c r="O119" s="207">
        <f t="shared" si="403"/>
        <v>0.31234198893763304</v>
      </c>
      <c r="P119" s="207">
        <f t="shared" si="403"/>
        <v>0.3161390515688281</v>
      </c>
      <c r="Q119" s="207">
        <f t="shared" si="403"/>
        <v>0.31907788147599392</v>
      </c>
    </row>
    <row r="120" spans="1:44">
      <c r="B120" s="203"/>
    </row>
    <row r="121" spans="1:44">
      <c r="A121" s="204" t="s">
        <v>69</v>
      </c>
      <c r="B121" s="203"/>
    </row>
    <row r="122" spans="1:44">
      <c r="A122" t="s">
        <v>21</v>
      </c>
      <c r="B122" s="203"/>
      <c r="C122" s="203"/>
      <c r="D122" s="203"/>
      <c r="E122" s="203">
        <f t="shared" ref="E122:Q122" si="404">SUM(B30:E30)</f>
        <v>90</v>
      </c>
      <c r="F122" s="203">
        <f t="shared" si="404"/>
        <v>90</v>
      </c>
      <c r="G122" s="203">
        <f t="shared" si="404"/>
        <v>93</v>
      </c>
      <c r="H122" s="203">
        <f t="shared" si="404"/>
        <v>97</v>
      </c>
      <c r="I122" s="203">
        <f t="shared" si="404"/>
        <v>99</v>
      </c>
      <c r="J122" s="203">
        <f t="shared" si="404"/>
        <v>104</v>
      </c>
      <c r="K122" s="203">
        <f t="shared" si="404"/>
        <v>107</v>
      </c>
      <c r="L122" s="203">
        <f t="shared" si="404"/>
        <v>113</v>
      </c>
      <c r="M122" s="203">
        <f t="shared" si="404"/>
        <v>122</v>
      </c>
      <c r="N122" s="203">
        <f t="shared" si="404"/>
        <v>127.151009</v>
      </c>
      <c r="O122" s="203">
        <f t="shared" si="404"/>
        <v>132.302018</v>
      </c>
      <c r="P122" s="203">
        <f t="shared" si="404"/>
        <v>136.45302700000002</v>
      </c>
      <c r="Q122" s="203">
        <f t="shared" si="404"/>
        <v>138.60403600000001</v>
      </c>
      <c r="S122" s="90">
        <f>I122/E122-1</f>
        <v>0.10000000000000009</v>
      </c>
      <c r="T122" s="90">
        <f>M122/I122-1</f>
        <v>0.23232323232323226</v>
      </c>
      <c r="U122" s="90">
        <f>Q122/M122-1</f>
        <v>0.13609865573770508</v>
      </c>
      <c r="V122" s="90">
        <f>Q122/E122-1</f>
        <v>0.54004484444444456</v>
      </c>
    </row>
    <row r="124" spans="1:44">
      <c r="A124" s="204" t="s">
        <v>70</v>
      </c>
      <c r="E124" s="202" t="s">
        <v>45</v>
      </c>
      <c r="F124" s="202" t="s">
        <v>46</v>
      </c>
      <c r="G124" s="202" t="s">
        <v>47</v>
      </c>
      <c r="H124" s="202" t="s">
        <v>48</v>
      </c>
      <c r="I124" s="202" t="s">
        <v>49</v>
      </c>
      <c r="J124" s="202" t="s">
        <v>50</v>
      </c>
      <c r="K124" s="202" t="s">
        <v>51</v>
      </c>
      <c r="L124" s="202" t="s">
        <v>52</v>
      </c>
      <c r="M124" s="202" t="s">
        <v>1</v>
      </c>
      <c r="N124" s="202" t="s">
        <v>53</v>
      </c>
      <c r="O124" s="202" t="s">
        <v>54</v>
      </c>
      <c r="P124" s="202" t="s">
        <v>55</v>
      </c>
      <c r="Q124" s="202" t="s">
        <v>56</v>
      </c>
      <c r="S124" s="202" t="s">
        <v>57</v>
      </c>
      <c r="T124" s="202" t="s">
        <v>58</v>
      </c>
      <c r="U124" s="202" t="s">
        <v>59</v>
      </c>
      <c r="AR124" t="s">
        <v>74</v>
      </c>
    </row>
    <row r="125" spans="1:44">
      <c r="A125" t="s">
        <v>14</v>
      </c>
      <c r="B125" s="203"/>
      <c r="C125" s="203"/>
      <c r="D125" s="203"/>
      <c r="E125" s="203">
        <f t="shared" ref="E125:Q126" si="405">SUM(B33:E33)</f>
        <v>9346</v>
      </c>
      <c r="F125" s="203">
        <f t="shared" si="405"/>
        <v>9567</v>
      </c>
      <c r="G125" s="203">
        <f t="shared" si="405"/>
        <v>9568</v>
      </c>
      <c r="H125" s="203">
        <f t="shared" si="405"/>
        <v>9768</v>
      </c>
      <c r="I125" s="203">
        <f t="shared" si="405"/>
        <v>9941</v>
      </c>
      <c r="J125" s="203">
        <f t="shared" si="405"/>
        <v>9930</v>
      </c>
      <c r="K125" s="203">
        <f t="shared" si="405"/>
        <v>10296</v>
      </c>
      <c r="L125" s="203">
        <f t="shared" si="405"/>
        <v>10601</v>
      </c>
      <c r="M125" s="203">
        <f t="shared" si="405"/>
        <v>10909</v>
      </c>
      <c r="N125" s="203">
        <f t="shared" si="405"/>
        <v>11118.526153999999</v>
      </c>
      <c r="O125" s="203">
        <f t="shared" si="405"/>
        <v>11290.191199592704</v>
      </c>
      <c r="P125" s="203">
        <f t="shared" si="405"/>
        <v>11425.996366765956</v>
      </c>
      <c r="Q125" s="203">
        <f t="shared" si="405"/>
        <v>11561.211260382979</v>
      </c>
      <c r="S125" s="90">
        <f>I125/E125-1</f>
        <v>6.3663599400813231E-2</v>
      </c>
      <c r="T125" s="90">
        <f>M125/I125-1</f>
        <v>9.7374509606679371E-2</v>
      </c>
      <c r="U125" s="90">
        <f>Q125/M125-1</f>
        <v>5.9786530422859974E-2</v>
      </c>
      <c r="AR125" s="90">
        <f>Q125/E125-1</f>
        <v>0.23702239036839057</v>
      </c>
    </row>
    <row r="126" spans="1:44">
      <c r="A126" t="s">
        <v>15</v>
      </c>
      <c r="B126" s="203"/>
      <c r="C126" s="203"/>
      <c r="D126" s="203"/>
      <c r="E126" s="203">
        <f t="shared" si="405"/>
        <v>4085</v>
      </c>
      <c r="F126" s="203">
        <f t="shared" si="405"/>
        <v>4184</v>
      </c>
      <c r="G126" s="203">
        <f t="shared" si="405"/>
        <v>4138</v>
      </c>
      <c r="H126" s="203">
        <f t="shared" si="405"/>
        <v>4253</v>
      </c>
      <c r="I126" s="203">
        <f t="shared" si="405"/>
        <v>4366</v>
      </c>
      <c r="J126" s="203">
        <f t="shared" si="405"/>
        <v>4366</v>
      </c>
      <c r="K126" s="203">
        <f t="shared" si="405"/>
        <v>4582</v>
      </c>
      <c r="L126" s="203">
        <f t="shared" si="405"/>
        <v>4681</v>
      </c>
      <c r="M126" s="203">
        <f t="shared" si="405"/>
        <v>4789</v>
      </c>
      <c r="N126" s="203">
        <f t="shared" si="405"/>
        <v>4812.4820600000003</v>
      </c>
      <c r="O126" s="203">
        <f t="shared" si="405"/>
        <v>4889.2300686893559</v>
      </c>
      <c r="P126" s="203">
        <f t="shared" si="405"/>
        <v>4957.308997002172</v>
      </c>
      <c r="Q126" s="203">
        <f t="shared" si="405"/>
        <v>5042.4465784648801</v>
      </c>
      <c r="S126" s="90">
        <f>I126/E126-1</f>
        <v>6.8788249694002435E-2</v>
      </c>
      <c r="T126" s="90">
        <f>M126/I126-1</f>
        <v>9.6885020613834083E-2</v>
      </c>
      <c r="U126" s="90">
        <f>Q126/M126-1</f>
        <v>5.2922651590077363E-2</v>
      </c>
      <c r="AR126" s="90">
        <f>Q126/E126-1</f>
        <v>0.23438104735982379</v>
      </c>
    </row>
    <row r="127" spans="1:44">
      <c r="A127" s="206" t="s">
        <v>65</v>
      </c>
      <c r="B127" s="207"/>
      <c r="C127" s="207"/>
      <c r="D127" s="207"/>
      <c r="E127" s="90">
        <f t="shared" ref="E127" si="406">E126/E125</f>
        <v>0.43708538412154935</v>
      </c>
      <c r="F127" s="90">
        <f t="shared" ref="F127" si="407">F126/F125</f>
        <v>0.43733667816452387</v>
      </c>
      <c r="G127" s="90">
        <f t="shared" ref="G127" si="408">G126/G125</f>
        <v>0.43248327759197325</v>
      </c>
      <c r="H127" s="90">
        <f t="shared" ref="H127" si="409">H126/H125</f>
        <v>0.43540131040131042</v>
      </c>
      <c r="I127" s="90">
        <f t="shared" ref="I127" si="410">I126/I125</f>
        <v>0.43919122824665524</v>
      </c>
      <c r="J127" s="90">
        <f t="shared" ref="J127" si="411">J126/J125</f>
        <v>0.43967774420946626</v>
      </c>
      <c r="K127" s="90">
        <f t="shared" ref="K127" si="412">K126/K125</f>
        <v>0.44502719502719501</v>
      </c>
      <c r="L127" s="90">
        <f t="shared" ref="L127" si="413">L126/L125</f>
        <v>0.4415621167814357</v>
      </c>
      <c r="M127" s="90">
        <f t="shared" ref="M127" si="414">M126/M125</f>
        <v>0.43899532496104132</v>
      </c>
      <c r="N127" s="90">
        <f t="shared" ref="N127" si="415">N126/N125</f>
        <v>0.43283453160459245</v>
      </c>
      <c r="O127" s="90">
        <f t="shared" ref="O127" si="416">O126/O125</f>
        <v>0.43305113104424092</v>
      </c>
      <c r="P127" s="90">
        <f t="shared" ref="P127" si="417">P126/P125</f>
        <v>0.4338622941821661</v>
      </c>
      <c r="Q127" s="90">
        <f t="shared" ref="Q127" si="418">Q126/Q125</f>
        <v>0.43615210075296584</v>
      </c>
    </row>
    <row r="128" spans="1:44">
      <c r="A128" t="s">
        <v>21</v>
      </c>
      <c r="B128" s="203"/>
      <c r="C128" s="203"/>
      <c r="D128" s="203"/>
      <c r="E128" s="203">
        <f t="shared" ref="E128:Q128" si="419">SUM(B36:E36)</f>
        <v>2704</v>
      </c>
      <c r="F128" s="203">
        <f t="shared" si="419"/>
        <v>2782</v>
      </c>
      <c r="G128" s="203">
        <f t="shared" si="419"/>
        <v>2800</v>
      </c>
      <c r="H128" s="203">
        <f t="shared" si="419"/>
        <v>2828</v>
      </c>
      <c r="I128" s="203">
        <f t="shared" si="419"/>
        <v>2844</v>
      </c>
      <c r="J128" s="203">
        <f t="shared" si="419"/>
        <v>2832</v>
      </c>
      <c r="K128" s="203">
        <f t="shared" si="419"/>
        <v>2871</v>
      </c>
      <c r="L128" s="203">
        <f t="shared" si="419"/>
        <v>2942</v>
      </c>
      <c r="M128" s="203">
        <f t="shared" si="419"/>
        <v>3020</v>
      </c>
      <c r="N128" s="203">
        <f t="shared" si="419"/>
        <v>3046.8915539999998</v>
      </c>
      <c r="O128" s="203">
        <f t="shared" si="419"/>
        <v>2786.1414856248775</v>
      </c>
      <c r="P128" s="203">
        <f t="shared" si="419"/>
        <v>2545.7489099040154</v>
      </c>
      <c r="Q128" s="203">
        <f t="shared" si="419"/>
        <v>2249.2456583751223</v>
      </c>
      <c r="S128" s="90">
        <f>I128/E128-1</f>
        <v>5.177514792899407E-2</v>
      </c>
      <c r="T128" s="90">
        <f>M128/I128-1</f>
        <v>6.1884669479606247E-2</v>
      </c>
      <c r="U128" s="90">
        <f>Q128/M128-1</f>
        <v>-0.25521666941221122</v>
      </c>
      <c r="AR128" s="90">
        <f t="shared" ref="AR128:AR129" si="420">Q128/E128-1</f>
        <v>-0.16817838077843106</v>
      </c>
    </row>
    <row r="129" spans="1:44">
      <c r="A129" t="s">
        <v>25</v>
      </c>
      <c r="B129" s="203"/>
      <c r="C129" s="203"/>
      <c r="D129" s="203"/>
      <c r="E129" s="203">
        <f t="shared" ref="E129" si="421">E126-E128</f>
        <v>1381</v>
      </c>
      <c r="F129" s="203">
        <f t="shared" ref="F129" si="422">F126-F128</f>
        <v>1402</v>
      </c>
      <c r="G129" s="203">
        <f t="shared" ref="G129" si="423">G126-G128</f>
        <v>1338</v>
      </c>
      <c r="H129" s="203">
        <f t="shared" ref="H129" si="424">H126-H128</f>
        <v>1425</v>
      </c>
      <c r="I129" s="203">
        <f t="shared" ref="I129" si="425">I126-I128</f>
        <v>1522</v>
      </c>
      <c r="J129" s="203">
        <f t="shared" ref="J129" si="426">J126-J128</f>
        <v>1534</v>
      </c>
      <c r="K129" s="203">
        <f t="shared" ref="K129" si="427">K126-K128</f>
        <v>1711</v>
      </c>
      <c r="L129" s="203">
        <f t="shared" ref="L129" si="428">L126-L128</f>
        <v>1739</v>
      </c>
      <c r="M129" s="203">
        <f t="shared" ref="M129" si="429">M126-M128</f>
        <v>1769</v>
      </c>
      <c r="N129" s="203">
        <f t="shared" ref="N129" si="430">N126-N128</f>
        <v>1765.5905060000005</v>
      </c>
      <c r="O129" s="203">
        <f t="shared" ref="O129" si="431">O126-O128</f>
        <v>2103.0885830644784</v>
      </c>
      <c r="P129" s="203">
        <f t="shared" ref="P129" si="432">P126-P128</f>
        <v>2411.5600870981566</v>
      </c>
      <c r="Q129" s="203">
        <f t="shared" ref="Q129" si="433">Q126-Q128</f>
        <v>2793.2009200897578</v>
      </c>
      <c r="S129" s="90">
        <f>I129/E129-1</f>
        <v>0.10209992758870379</v>
      </c>
      <c r="T129" s="90">
        <f>M129/I129-1</f>
        <v>0.16228646517739809</v>
      </c>
      <c r="U129" s="90">
        <f>Q129/M129-1</f>
        <v>0.57897169027120277</v>
      </c>
      <c r="AR129" s="90">
        <f t="shared" si="420"/>
        <v>1.0225929906515261</v>
      </c>
    </row>
    <row r="130" spans="1:44">
      <c r="A130" t="s">
        <v>66</v>
      </c>
      <c r="B130" s="90"/>
      <c r="C130" s="90"/>
      <c r="D130" s="90"/>
      <c r="E130" s="90">
        <f t="shared" ref="E130" si="434">E129/E125</f>
        <v>0.14776374919751764</v>
      </c>
      <c r="F130" s="90">
        <f t="shared" ref="F130" si="435">F129/F125</f>
        <v>0.14654541653600919</v>
      </c>
      <c r="G130" s="90">
        <f t="shared" ref="G130" si="436">G129/G125</f>
        <v>0.13984113712374582</v>
      </c>
      <c r="H130" s="90">
        <f t="shared" ref="H130" si="437">H129/H125</f>
        <v>0.14588452088452089</v>
      </c>
      <c r="I130" s="90">
        <f t="shared" ref="I130" si="438">I129/I125</f>
        <v>0.1531033095262046</v>
      </c>
      <c r="J130" s="90">
        <f t="shared" ref="J130" si="439">J129/J125</f>
        <v>0.15448136958710976</v>
      </c>
      <c r="K130" s="90">
        <f t="shared" ref="K130" si="440">K129/K125</f>
        <v>0.16618104118104118</v>
      </c>
      <c r="L130" s="90">
        <f t="shared" ref="L130" si="441">L129/L125</f>
        <v>0.16404112819545327</v>
      </c>
      <c r="M130" s="90">
        <f t="shared" ref="M130" si="442">M129/M125</f>
        <v>0.16215968466403888</v>
      </c>
      <c r="N130" s="90">
        <f t="shared" ref="N130" si="443">N129/N125</f>
        <v>0.15879717163455265</v>
      </c>
      <c r="O130" s="90">
        <f t="shared" ref="O130" si="444">O129/O125</f>
        <v>0.18627572783181456</v>
      </c>
      <c r="P130" s="90">
        <f t="shared" ref="P130" si="445">P129/P125</f>
        <v>0.21105906300762556</v>
      </c>
      <c r="Q130" s="90">
        <f t="shared" ref="Q130" si="446">Q129/Q125</f>
        <v>0.24160106213622029</v>
      </c>
    </row>
    <row r="131" spans="1:44">
      <c r="A131" s="206" t="s">
        <v>67</v>
      </c>
      <c r="B131" s="207"/>
      <c r="C131" s="207"/>
      <c r="D131" s="207"/>
      <c r="E131" s="90">
        <f t="shared" ref="E131:Q131" si="447">E128/E125</f>
        <v>0.28932163492403168</v>
      </c>
      <c r="F131" s="90">
        <f t="shared" si="447"/>
        <v>0.29079126162851471</v>
      </c>
      <c r="G131" s="90">
        <f t="shared" si="447"/>
        <v>0.29264214046822745</v>
      </c>
      <c r="H131" s="90">
        <f t="shared" si="447"/>
        <v>0.2895167895167895</v>
      </c>
      <c r="I131" s="90">
        <f t="shared" si="447"/>
        <v>0.28608791872045064</v>
      </c>
      <c r="J131" s="90">
        <f t="shared" si="447"/>
        <v>0.28519637462235647</v>
      </c>
      <c r="K131" s="90">
        <f t="shared" si="447"/>
        <v>0.27884615384615385</v>
      </c>
      <c r="L131" s="90">
        <f t="shared" si="447"/>
        <v>0.27752098858598245</v>
      </c>
      <c r="M131" s="90">
        <f t="shared" si="447"/>
        <v>0.27683564029700247</v>
      </c>
      <c r="N131" s="90">
        <f t="shared" si="447"/>
        <v>0.27403735997003981</v>
      </c>
      <c r="O131" s="90">
        <f t="shared" si="447"/>
        <v>0.24677540321242639</v>
      </c>
      <c r="P131" s="90">
        <f t="shared" si="447"/>
        <v>0.22280323117454051</v>
      </c>
      <c r="Q131" s="90">
        <f t="shared" si="447"/>
        <v>0.19455103861674553</v>
      </c>
    </row>
    <row r="134" spans="1:44">
      <c r="A134" t="s">
        <v>75</v>
      </c>
    </row>
    <row r="136" spans="1:44">
      <c r="A136" s="204" t="str">
        <f t="shared" ref="A136:Q136" si="448">A124</f>
        <v>GROUP</v>
      </c>
      <c r="E136" s="202" t="str">
        <f t="shared" si="448"/>
        <v>4Q19</v>
      </c>
      <c r="F136" s="202" t="str">
        <f t="shared" si="448"/>
        <v>1Q20</v>
      </c>
      <c r="G136" s="202" t="str">
        <f t="shared" si="448"/>
        <v>2Q20</v>
      </c>
      <c r="H136" s="202" t="str">
        <f t="shared" si="448"/>
        <v>3Q20</v>
      </c>
      <c r="I136" s="202" t="str">
        <f t="shared" si="448"/>
        <v>4Q20</v>
      </c>
      <c r="J136" s="202" t="str">
        <f t="shared" si="448"/>
        <v>1Q21</v>
      </c>
      <c r="K136" s="202" t="str">
        <f t="shared" si="448"/>
        <v>2Q21</v>
      </c>
      <c r="L136" s="202" t="str">
        <f t="shared" si="448"/>
        <v>3Q21</v>
      </c>
      <c r="M136" s="202" t="str">
        <f t="shared" si="448"/>
        <v>4Q21</v>
      </c>
      <c r="N136" s="202" t="str">
        <f t="shared" si="448"/>
        <v>1Q22</v>
      </c>
      <c r="O136" s="202" t="str">
        <f t="shared" si="448"/>
        <v>2Q22</v>
      </c>
      <c r="P136" s="202" t="str">
        <f t="shared" si="448"/>
        <v>3Q22</v>
      </c>
      <c r="Q136" s="202" t="str">
        <f t="shared" si="448"/>
        <v>4Q22</v>
      </c>
      <c r="T136" s="202" t="s">
        <v>76</v>
      </c>
      <c r="U136" s="202" t="s">
        <v>57</v>
      </c>
      <c r="V136" s="202" t="s">
        <v>58</v>
      </c>
      <c r="W136" s="202" t="s">
        <v>59</v>
      </c>
      <c r="X136" s="202" t="s">
        <v>74</v>
      </c>
    </row>
    <row r="137" spans="1:44">
      <c r="A137" t="str">
        <f t="shared" ref="A137:Q137" si="449">A125</f>
        <v>Revenues</v>
      </c>
      <c r="B137" s="203"/>
      <c r="C137" s="203"/>
      <c r="D137" s="203"/>
      <c r="E137" s="203">
        <f t="shared" si="449"/>
        <v>9346</v>
      </c>
      <c r="F137" s="203">
        <f t="shared" si="449"/>
        <v>9567</v>
      </c>
      <c r="G137" s="203">
        <f t="shared" si="449"/>
        <v>9568</v>
      </c>
      <c r="H137" s="203">
        <f t="shared" si="449"/>
        <v>9768</v>
      </c>
      <c r="I137" s="203">
        <f t="shared" si="449"/>
        <v>9941</v>
      </c>
      <c r="J137" s="203">
        <f t="shared" si="449"/>
        <v>9930</v>
      </c>
      <c r="K137" s="203">
        <f t="shared" si="449"/>
        <v>10296</v>
      </c>
      <c r="L137" s="203">
        <f t="shared" si="449"/>
        <v>10601</v>
      </c>
      <c r="M137" s="203">
        <f t="shared" si="449"/>
        <v>10909</v>
      </c>
      <c r="N137" s="203">
        <f t="shared" si="449"/>
        <v>11118.526153999999</v>
      </c>
      <c r="O137" s="203">
        <f t="shared" si="449"/>
        <v>11290.191199592704</v>
      </c>
      <c r="P137" s="203">
        <f t="shared" si="449"/>
        <v>11425.996366765956</v>
      </c>
      <c r="Q137" s="203">
        <f t="shared" si="449"/>
        <v>11561.211260382979</v>
      </c>
      <c r="T137" s="90">
        <f>9346/8596-1</f>
        <v>8.7249883666821848E-2</v>
      </c>
      <c r="U137" s="90">
        <f>I125/E125-1</f>
        <v>6.3663599400813231E-2</v>
      </c>
      <c r="V137" s="90">
        <f>M125/I125-1</f>
        <v>9.7374509606679371E-2</v>
      </c>
      <c r="W137" s="90">
        <f>Q125/M125-1</f>
        <v>5.9786530422859974E-2</v>
      </c>
      <c r="X137" s="90">
        <f>Q125/E125-1</f>
        <v>0.23702239036839057</v>
      </c>
    </row>
    <row r="138" spans="1:44">
      <c r="A138" t="str">
        <f t="shared" ref="A138:Q138" si="450">A126</f>
        <v>Gross contribution</v>
      </c>
      <c r="B138" s="203"/>
      <c r="C138" s="203"/>
      <c r="D138" s="203"/>
      <c r="E138" s="203">
        <f t="shared" si="450"/>
        <v>4085</v>
      </c>
      <c r="F138" s="203">
        <f t="shared" si="450"/>
        <v>4184</v>
      </c>
      <c r="G138" s="203">
        <f t="shared" si="450"/>
        <v>4138</v>
      </c>
      <c r="H138" s="203">
        <f t="shared" si="450"/>
        <v>4253</v>
      </c>
      <c r="I138" s="203">
        <f t="shared" si="450"/>
        <v>4366</v>
      </c>
      <c r="J138" s="203">
        <f t="shared" si="450"/>
        <v>4366</v>
      </c>
      <c r="K138" s="203">
        <f t="shared" si="450"/>
        <v>4582</v>
      </c>
      <c r="L138" s="203">
        <f t="shared" si="450"/>
        <v>4681</v>
      </c>
      <c r="M138" s="203">
        <f t="shared" si="450"/>
        <v>4789</v>
      </c>
      <c r="N138" s="203">
        <f t="shared" si="450"/>
        <v>4812.4820600000003</v>
      </c>
      <c r="O138" s="203">
        <f t="shared" si="450"/>
        <v>4889.2300686893559</v>
      </c>
      <c r="P138" s="203">
        <f t="shared" si="450"/>
        <v>4957.308997002172</v>
      </c>
      <c r="Q138" s="203">
        <f t="shared" si="450"/>
        <v>5042.4465784648801</v>
      </c>
      <c r="T138" s="90">
        <f>4085/3682-1</f>
        <v>0.10945138511678443</v>
      </c>
      <c r="U138" s="90">
        <f>I126/E126-1</f>
        <v>6.8788249694002435E-2</v>
      </c>
      <c r="V138" s="90">
        <f>M126/I126-1</f>
        <v>9.6885020613834083E-2</v>
      </c>
      <c r="W138" s="90">
        <f>Q126/M126-1</f>
        <v>5.2922651590077363E-2</v>
      </c>
      <c r="X138" s="90">
        <f>Q126/E126-1</f>
        <v>0.23438104735982379</v>
      </c>
    </row>
    <row r="139" spans="1:44">
      <c r="A139" s="206" t="str">
        <f t="shared" ref="A139:Q139" si="451">A127</f>
        <v xml:space="preserve"> - gross margin</v>
      </c>
      <c r="B139" s="207"/>
      <c r="C139" s="207"/>
      <c r="D139" s="207"/>
      <c r="E139" s="90">
        <f t="shared" si="451"/>
        <v>0.43708538412154935</v>
      </c>
      <c r="F139" s="90">
        <f t="shared" si="451"/>
        <v>0.43733667816452387</v>
      </c>
      <c r="G139" s="90">
        <f t="shared" si="451"/>
        <v>0.43248327759197325</v>
      </c>
      <c r="H139" s="90">
        <f t="shared" si="451"/>
        <v>0.43540131040131042</v>
      </c>
      <c r="I139" s="90">
        <f t="shared" si="451"/>
        <v>0.43919122824665524</v>
      </c>
      <c r="J139" s="90">
        <f t="shared" si="451"/>
        <v>0.43967774420946626</v>
      </c>
      <c r="K139" s="90">
        <f t="shared" si="451"/>
        <v>0.44502719502719501</v>
      </c>
      <c r="L139" s="90">
        <f t="shared" si="451"/>
        <v>0.4415621167814357</v>
      </c>
      <c r="M139" s="90">
        <f t="shared" si="451"/>
        <v>0.43899532496104132</v>
      </c>
      <c r="N139" s="90">
        <f t="shared" si="451"/>
        <v>0.43283453160459245</v>
      </c>
      <c r="O139" s="90">
        <f t="shared" si="451"/>
        <v>0.43305113104424092</v>
      </c>
      <c r="P139" s="90">
        <f t="shared" si="451"/>
        <v>0.4338622941821661</v>
      </c>
      <c r="Q139" s="90">
        <f t="shared" si="451"/>
        <v>0.43615210075296584</v>
      </c>
    </row>
    <row r="140" spans="1:44">
      <c r="A140" t="str">
        <f t="shared" ref="A140:Q140" si="452">A128</f>
        <v>Operating expenses</v>
      </c>
      <c r="B140" s="203"/>
      <c r="C140" s="203"/>
      <c r="D140" s="203"/>
      <c r="E140" s="203">
        <f t="shared" si="452"/>
        <v>2704</v>
      </c>
      <c r="F140" s="203">
        <f t="shared" si="452"/>
        <v>2782</v>
      </c>
      <c r="G140" s="203">
        <f t="shared" si="452"/>
        <v>2800</v>
      </c>
      <c r="H140" s="203">
        <f t="shared" si="452"/>
        <v>2828</v>
      </c>
      <c r="I140" s="203">
        <f t="shared" si="452"/>
        <v>2844</v>
      </c>
      <c r="J140" s="203">
        <f t="shared" si="452"/>
        <v>2832</v>
      </c>
      <c r="K140" s="203">
        <f t="shared" si="452"/>
        <v>2871</v>
      </c>
      <c r="L140" s="203">
        <f t="shared" si="452"/>
        <v>2942</v>
      </c>
      <c r="M140" s="203">
        <f t="shared" si="452"/>
        <v>3020</v>
      </c>
      <c r="N140" s="203">
        <f t="shared" si="452"/>
        <v>3046.8915539999998</v>
      </c>
      <c r="O140" s="203">
        <f t="shared" si="452"/>
        <v>2786.1414856248775</v>
      </c>
      <c r="P140" s="203">
        <f t="shared" si="452"/>
        <v>2545.7489099040154</v>
      </c>
      <c r="Q140" s="203">
        <f t="shared" si="452"/>
        <v>2249.2456583751223</v>
      </c>
      <c r="T140" s="90">
        <f>2704/2429-1</f>
        <v>0.1132153149444215</v>
      </c>
      <c r="U140" s="90">
        <f>I128/E128-1</f>
        <v>5.177514792899407E-2</v>
      </c>
      <c r="V140" s="90">
        <f>M128/I128-1</f>
        <v>6.1884669479606247E-2</v>
      </c>
      <c r="W140" s="90">
        <f>Q128/M128-1</f>
        <v>-0.25521666941221122</v>
      </c>
      <c r="X140" s="90">
        <f>Q128/E128-1</f>
        <v>-0.16817838077843106</v>
      </c>
    </row>
    <row r="141" spans="1:44">
      <c r="A141" t="str">
        <f t="shared" ref="A141:Q141" si="453">A129</f>
        <v>EBITA</v>
      </c>
      <c r="B141" s="203"/>
      <c r="C141" s="203"/>
      <c r="D141" s="203"/>
      <c r="E141" s="203">
        <f t="shared" si="453"/>
        <v>1381</v>
      </c>
      <c r="F141" s="203">
        <f t="shared" si="453"/>
        <v>1402</v>
      </c>
      <c r="G141" s="203">
        <f t="shared" si="453"/>
        <v>1338</v>
      </c>
      <c r="H141" s="203">
        <f t="shared" si="453"/>
        <v>1425</v>
      </c>
      <c r="I141" s="203">
        <f t="shared" si="453"/>
        <v>1522</v>
      </c>
      <c r="J141" s="203">
        <f t="shared" si="453"/>
        <v>1534</v>
      </c>
      <c r="K141" s="203">
        <f t="shared" si="453"/>
        <v>1711</v>
      </c>
      <c r="L141" s="203">
        <f t="shared" si="453"/>
        <v>1739</v>
      </c>
      <c r="M141" s="203">
        <f t="shared" si="453"/>
        <v>1769</v>
      </c>
      <c r="N141" s="203">
        <f t="shared" si="453"/>
        <v>1765.5905060000005</v>
      </c>
      <c r="O141" s="203">
        <f t="shared" si="453"/>
        <v>2103.0885830644784</v>
      </c>
      <c r="P141" s="203">
        <f t="shared" si="453"/>
        <v>2411.5600870981566</v>
      </c>
      <c r="Q141" s="203">
        <f t="shared" si="453"/>
        <v>2793.2009200897578</v>
      </c>
      <c r="T141" s="90">
        <f>1381/1253-1</f>
        <v>0.10215482841181167</v>
      </c>
      <c r="U141" s="90">
        <f>I129/E129-1</f>
        <v>0.10209992758870379</v>
      </c>
      <c r="V141" s="90">
        <f>M129/I129-1</f>
        <v>0.16228646517739809</v>
      </c>
      <c r="W141" s="90">
        <f>Q129/M129-1</f>
        <v>0.57897169027120277</v>
      </c>
      <c r="X141" s="90">
        <f>Q129/E129-1</f>
        <v>1.0225929906515261</v>
      </c>
    </row>
    <row r="142" spans="1:44">
      <c r="A142" t="str">
        <f t="shared" ref="A142:Q142" si="454">A130</f>
        <v xml:space="preserve"> - margin</v>
      </c>
      <c r="B142" s="90"/>
      <c r="C142" s="90"/>
      <c r="D142" s="90"/>
      <c r="E142" s="90">
        <f t="shared" si="454"/>
        <v>0.14776374919751764</v>
      </c>
      <c r="F142" s="90">
        <f t="shared" si="454"/>
        <v>0.14654541653600919</v>
      </c>
      <c r="G142" s="90">
        <f t="shared" si="454"/>
        <v>0.13984113712374582</v>
      </c>
      <c r="H142" s="90">
        <f t="shared" si="454"/>
        <v>0.14588452088452089</v>
      </c>
      <c r="I142" s="90">
        <f t="shared" si="454"/>
        <v>0.1531033095262046</v>
      </c>
      <c r="J142" s="90">
        <f t="shared" si="454"/>
        <v>0.15448136958710976</v>
      </c>
      <c r="K142" s="90">
        <f t="shared" si="454"/>
        <v>0.16618104118104118</v>
      </c>
      <c r="L142" s="90">
        <f t="shared" si="454"/>
        <v>0.16404112819545327</v>
      </c>
      <c r="M142" s="90">
        <f t="shared" si="454"/>
        <v>0.16215968466403888</v>
      </c>
      <c r="N142" s="90">
        <f t="shared" si="454"/>
        <v>0.15879717163455265</v>
      </c>
      <c r="O142" s="90">
        <f t="shared" si="454"/>
        <v>0.18627572783181456</v>
      </c>
      <c r="P142" s="90">
        <f t="shared" si="454"/>
        <v>0.21105906300762556</v>
      </c>
      <c r="Q142" s="90">
        <f t="shared" si="454"/>
        <v>0.24160106213622029</v>
      </c>
    </row>
    <row r="143" spans="1:44">
      <c r="A143" s="206" t="str">
        <f t="shared" ref="A143:Q143" si="455">A131</f>
        <v>Op.exp in % of sales</v>
      </c>
      <c r="B143" s="207"/>
      <c r="C143" s="207"/>
      <c r="D143" s="207"/>
      <c r="E143" s="90">
        <f t="shared" si="455"/>
        <v>0.28932163492403168</v>
      </c>
      <c r="F143" s="90">
        <f t="shared" si="455"/>
        <v>0.29079126162851471</v>
      </c>
      <c r="G143" s="90">
        <f t="shared" si="455"/>
        <v>0.29264214046822745</v>
      </c>
      <c r="H143" s="90">
        <f t="shared" si="455"/>
        <v>0.2895167895167895</v>
      </c>
      <c r="I143" s="90">
        <f t="shared" si="455"/>
        <v>0.28608791872045064</v>
      </c>
      <c r="J143" s="90">
        <f t="shared" si="455"/>
        <v>0.28519637462235647</v>
      </c>
      <c r="K143" s="90">
        <f t="shared" si="455"/>
        <v>0.27884615384615385</v>
      </c>
      <c r="L143" s="90">
        <f t="shared" si="455"/>
        <v>0.27752098858598245</v>
      </c>
      <c r="M143" s="90">
        <f t="shared" si="455"/>
        <v>0.27683564029700247</v>
      </c>
      <c r="N143" s="90">
        <f t="shared" si="455"/>
        <v>0.27403735997003981</v>
      </c>
      <c r="O143" s="90">
        <f t="shared" si="455"/>
        <v>0.24677540321242639</v>
      </c>
      <c r="P143" s="90">
        <f t="shared" si="455"/>
        <v>0.22280323117454051</v>
      </c>
      <c r="Q143" s="90">
        <f t="shared" si="455"/>
        <v>0.19455103861674553</v>
      </c>
    </row>
  </sheetData>
  <phoneticPr fontId="36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AC293-E7AE-4EF0-9887-C169B61154CA}">
  <sheetPr>
    <pageSetUpPr fitToPage="1"/>
  </sheetPr>
  <dimension ref="A1:AK106"/>
  <sheetViews>
    <sheetView showGridLines="0" zoomScaleNormal="100" workbookViewId="0">
      <selection activeCell="O93" sqref="O93"/>
    </sheetView>
  </sheetViews>
  <sheetFormatPr defaultColWidth="9.140625" defaultRowHeight="11.25"/>
  <cols>
    <col min="1" max="1" width="25" style="29" customWidth="1"/>
    <col min="2" max="2" width="1" style="29" customWidth="1"/>
    <col min="3" max="7" width="7" style="29" customWidth="1"/>
    <col min="8" max="8" width="1" style="29" customWidth="1"/>
    <col min="9" max="13" width="7" style="29" customWidth="1"/>
    <col min="14" max="14" width="1" style="29" customWidth="1"/>
    <col min="15" max="19" width="7" style="29" customWidth="1"/>
    <col min="20" max="20" width="1" style="29" customWidth="1"/>
    <col min="21" max="25" width="7" style="29" customWidth="1"/>
    <col min="26" max="26" width="9.140625" style="29"/>
    <col min="27" max="31" width="7" style="29" customWidth="1"/>
    <col min="32" max="16384" width="9.140625" style="29"/>
  </cols>
  <sheetData>
    <row r="1" spans="1:34" ht="17.25" customHeight="1" thickBot="1">
      <c r="A1" s="179" t="s">
        <v>77</v>
      </c>
      <c r="B1" s="1"/>
      <c r="C1" s="33" t="s">
        <v>78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1"/>
      <c r="O1" s="33" t="s">
        <v>79</v>
      </c>
      <c r="P1" s="32"/>
      <c r="Q1" s="32"/>
      <c r="R1" s="32"/>
      <c r="S1" s="32"/>
      <c r="T1" s="32"/>
      <c r="U1" s="32"/>
      <c r="V1" s="32"/>
      <c r="W1" s="32"/>
      <c r="X1" s="32"/>
      <c r="Y1" s="32"/>
      <c r="Z1" s="1"/>
      <c r="AA1" s="1"/>
      <c r="AB1" s="1"/>
      <c r="AC1" s="1"/>
      <c r="AD1" s="1"/>
      <c r="AE1" s="1"/>
      <c r="AF1" s="1"/>
      <c r="AG1" s="1"/>
      <c r="AH1" s="1"/>
    </row>
    <row r="2" spans="1:34" ht="16.5" thickBot="1">
      <c r="A2" s="27" t="s">
        <v>80</v>
      </c>
      <c r="B2" s="1"/>
      <c r="C2" s="33">
        <v>2019</v>
      </c>
      <c r="D2" s="32"/>
      <c r="E2" s="32"/>
      <c r="F2" s="32"/>
      <c r="G2" s="32"/>
      <c r="H2" s="1"/>
      <c r="I2" s="30">
        <v>2020</v>
      </c>
      <c r="J2" s="31"/>
      <c r="K2" s="31"/>
      <c r="L2" s="31"/>
      <c r="M2" s="32"/>
      <c r="N2" s="1"/>
      <c r="O2" s="33">
        <v>2019</v>
      </c>
      <c r="P2" s="32"/>
      <c r="Q2" s="32"/>
      <c r="R2" s="32"/>
      <c r="S2" s="32"/>
      <c r="T2" s="1"/>
      <c r="U2" s="30">
        <v>2020</v>
      </c>
      <c r="V2" s="31"/>
      <c r="W2" s="31"/>
      <c r="X2" s="31"/>
      <c r="Y2" s="32"/>
      <c r="Z2" s="1"/>
      <c r="AA2" s="1"/>
      <c r="AB2" s="1"/>
      <c r="AC2" s="1"/>
      <c r="AD2" s="1"/>
      <c r="AE2" s="1"/>
      <c r="AF2" s="1"/>
      <c r="AG2" s="1"/>
      <c r="AH2" s="1"/>
    </row>
    <row r="3" spans="1:34" ht="12" thickBot="1">
      <c r="A3" s="35" t="s">
        <v>81</v>
      </c>
      <c r="B3" s="1"/>
      <c r="C3" s="40" t="s">
        <v>42</v>
      </c>
      <c r="D3" s="41" t="s">
        <v>43</v>
      </c>
      <c r="E3" s="41" t="s">
        <v>44</v>
      </c>
      <c r="F3" s="41" t="s">
        <v>45</v>
      </c>
      <c r="G3" s="42" t="s">
        <v>82</v>
      </c>
      <c r="H3" s="1"/>
      <c r="I3" s="40" t="s">
        <v>46</v>
      </c>
      <c r="J3" s="41" t="s">
        <v>47</v>
      </c>
      <c r="K3" s="41" t="s">
        <v>48</v>
      </c>
      <c r="L3" s="41" t="s">
        <v>49</v>
      </c>
      <c r="M3" s="42" t="s">
        <v>82</v>
      </c>
      <c r="N3" s="1"/>
      <c r="O3" s="40" t="s">
        <v>42</v>
      </c>
      <c r="P3" s="41" t="s">
        <v>43</v>
      </c>
      <c r="Q3" s="41" t="s">
        <v>44</v>
      </c>
      <c r="R3" s="41" t="s">
        <v>45</v>
      </c>
      <c r="S3" s="42" t="s">
        <v>82</v>
      </c>
      <c r="T3" s="1"/>
      <c r="U3" s="40" t="s">
        <v>46</v>
      </c>
      <c r="V3" s="41" t="s">
        <v>47</v>
      </c>
      <c r="W3" s="41" t="s">
        <v>48</v>
      </c>
      <c r="X3" s="41" t="s">
        <v>49</v>
      </c>
      <c r="Y3" s="42" t="s">
        <v>82</v>
      </c>
      <c r="Z3" s="1"/>
      <c r="AA3" s="1"/>
      <c r="AB3" s="1"/>
      <c r="AC3" s="1"/>
      <c r="AD3" s="1"/>
      <c r="AE3" s="1"/>
      <c r="AF3" s="1"/>
      <c r="AG3" s="1"/>
      <c r="AH3" s="1"/>
    </row>
    <row r="4" spans="1:34" ht="5.25" customHeight="1">
      <c r="A4" s="52"/>
      <c r="B4" s="1"/>
      <c r="C4" s="117"/>
      <c r="D4" s="119"/>
      <c r="E4" s="119"/>
      <c r="F4" s="119"/>
      <c r="G4" s="118"/>
      <c r="H4" s="1"/>
      <c r="I4" s="120"/>
      <c r="J4" s="1"/>
      <c r="K4" s="1"/>
      <c r="L4" s="1"/>
      <c r="M4" s="107"/>
      <c r="N4" s="1"/>
      <c r="O4" s="117"/>
      <c r="P4" s="119"/>
      <c r="Q4" s="119"/>
      <c r="R4" s="119"/>
      <c r="S4" s="118"/>
      <c r="T4" s="1"/>
      <c r="U4" s="117"/>
      <c r="V4" s="119"/>
      <c r="W4" s="119"/>
      <c r="X4" s="119"/>
      <c r="Y4" s="118"/>
      <c r="Z4" s="1"/>
      <c r="AA4" s="1"/>
      <c r="AB4" s="1"/>
      <c r="AC4" s="1"/>
      <c r="AD4" s="1"/>
      <c r="AE4" s="1"/>
      <c r="AF4" s="1"/>
      <c r="AG4" s="1"/>
      <c r="AH4" s="1"/>
    </row>
    <row r="5" spans="1:34">
      <c r="A5" s="53" t="s">
        <v>83</v>
      </c>
      <c r="B5" s="123"/>
      <c r="C5" s="121"/>
      <c r="D5" s="116"/>
      <c r="E5" s="116"/>
      <c r="F5" s="116"/>
      <c r="G5" s="122"/>
      <c r="H5" s="123"/>
      <c r="I5" s="121"/>
      <c r="J5" s="116"/>
      <c r="K5" s="116"/>
      <c r="L5" s="116"/>
      <c r="M5" s="122"/>
      <c r="N5" s="1"/>
      <c r="O5" s="121"/>
      <c r="P5" s="116"/>
      <c r="Q5" s="116"/>
      <c r="R5" s="116"/>
      <c r="S5" s="122"/>
      <c r="T5" s="123"/>
      <c r="U5" s="121"/>
      <c r="V5" s="116"/>
      <c r="W5" s="116"/>
      <c r="X5" s="116"/>
      <c r="Y5" s="122"/>
      <c r="Z5" s="1"/>
      <c r="AA5" s="230"/>
      <c r="AB5" s="230"/>
      <c r="AC5" s="230"/>
      <c r="AD5" s="230"/>
      <c r="AE5" s="230"/>
      <c r="AF5" s="230"/>
      <c r="AG5" s="230"/>
      <c r="AH5" s="230"/>
    </row>
    <row r="6" spans="1:34">
      <c r="A6" s="77" t="s">
        <v>84</v>
      </c>
      <c r="B6" s="126"/>
      <c r="C6" s="127">
        <v>1042</v>
      </c>
      <c r="D6" s="128">
        <v>1088</v>
      </c>
      <c r="E6" s="128">
        <v>1238</v>
      </c>
      <c r="F6" s="128">
        <v>1265</v>
      </c>
      <c r="G6" s="129">
        <f>SUM(C6:F6)</f>
        <v>4633</v>
      </c>
      <c r="H6" s="1"/>
      <c r="I6" s="127">
        <v>1168</v>
      </c>
      <c r="J6" s="128">
        <v>1055</v>
      </c>
      <c r="K6" s="128">
        <v>1287</v>
      </c>
      <c r="L6" s="128">
        <v>1426</v>
      </c>
      <c r="M6" s="129">
        <f>SUM(I6:L6)</f>
        <v>4936</v>
      </c>
      <c r="N6" s="1"/>
      <c r="O6" s="127">
        <v>1116</v>
      </c>
      <c r="P6" s="128">
        <v>1219</v>
      </c>
      <c r="Q6" s="128">
        <v>1302</v>
      </c>
      <c r="R6" s="128">
        <v>1302</v>
      </c>
      <c r="S6" s="129">
        <f>SUM(O6:R6)</f>
        <v>4939</v>
      </c>
      <c r="T6" s="1"/>
      <c r="U6" s="127"/>
      <c r="V6" s="128"/>
      <c r="W6" s="128"/>
      <c r="X6" s="128"/>
      <c r="Y6" s="129">
        <f>SUM(U6:X6)</f>
        <v>0</v>
      </c>
      <c r="Z6" s="1"/>
      <c r="AA6" s="230"/>
      <c r="AB6" s="230"/>
      <c r="AC6" s="230"/>
      <c r="AD6" s="230"/>
      <c r="AE6" s="230"/>
      <c r="AF6" s="230"/>
      <c r="AG6" s="230"/>
      <c r="AH6" s="230"/>
    </row>
    <row r="7" spans="1:34">
      <c r="A7" s="52" t="s">
        <v>15</v>
      </c>
      <c r="B7" s="123"/>
      <c r="C7" s="124">
        <v>417</v>
      </c>
      <c r="D7" s="123">
        <v>471</v>
      </c>
      <c r="E7" s="123">
        <v>534</v>
      </c>
      <c r="F7" s="123">
        <f t="shared" ref="F7:F9" si="0">G7-E7-D7-C7</f>
        <v>506</v>
      </c>
      <c r="G7" s="125">
        <f>1943-15</f>
        <v>1928</v>
      </c>
      <c r="H7" s="1"/>
      <c r="I7" s="124">
        <v>462</v>
      </c>
      <c r="J7" s="123">
        <v>408</v>
      </c>
      <c r="K7" s="123">
        <v>574</v>
      </c>
      <c r="L7" s="123">
        <f>M7-K7-J7-I7</f>
        <v>598</v>
      </c>
      <c r="M7" s="125">
        <v>2042</v>
      </c>
      <c r="N7" s="1"/>
      <c r="O7" s="124">
        <v>445</v>
      </c>
      <c r="P7" s="123">
        <v>524</v>
      </c>
      <c r="Q7" s="123">
        <v>558</v>
      </c>
      <c r="R7" s="123">
        <v>521</v>
      </c>
      <c r="S7" s="125">
        <f>SUM(O7:R7)</f>
        <v>2048</v>
      </c>
      <c r="T7" s="1"/>
      <c r="U7" s="124"/>
      <c r="V7" s="123"/>
      <c r="W7" s="123"/>
      <c r="X7" s="123"/>
      <c r="Y7" s="125">
        <f>SUM(U7:X7)</f>
        <v>0</v>
      </c>
      <c r="Z7" s="1"/>
      <c r="AA7" s="230"/>
      <c r="AB7" s="230"/>
      <c r="AC7" s="230"/>
      <c r="AD7" s="230"/>
      <c r="AE7" s="230"/>
      <c r="AF7" s="230"/>
      <c r="AG7" s="230"/>
      <c r="AH7" s="230"/>
    </row>
    <row r="8" spans="1:34" s="60" customFormat="1">
      <c r="A8" s="54" t="s">
        <v>85</v>
      </c>
      <c r="B8" s="64"/>
      <c r="C8" s="58">
        <f>C7/C6</f>
        <v>0.40019193857965452</v>
      </c>
      <c r="D8" s="72">
        <f>D7/D6</f>
        <v>0.4329044117647059</v>
      </c>
      <c r="E8" s="72">
        <f>E7/E6</f>
        <v>0.43134087237479807</v>
      </c>
      <c r="F8" s="72">
        <f>F7/F6</f>
        <v>0.4</v>
      </c>
      <c r="G8" s="59">
        <f>G7/G6</f>
        <v>0.4161450464062163</v>
      </c>
      <c r="H8" s="61"/>
      <c r="I8" s="58">
        <f>I7/I6</f>
        <v>0.39554794520547948</v>
      </c>
      <c r="J8" s="72">
        <f>J7/J6</f>
        <v>0.38672985781990521</v>
      </c>
      <c r="K8" s="72">
        <f>K7/K6</f>
        <v>0.44599844599844601</v>
      </c>
      <c r="L8" s="72">
        <f>L7/L6</f>
        <v>0.41935483870967744</v>
      </c>
      <c r="M8" s="59">
        <f>M7/M6</f>
        <v>0.41369529983792547</v>
      </c>
      <c r="O8" s="58">
        <f>O7/O6</f>
        <v>0.39874551971326166</v>
      </c>
      <c r="P8" s="72">
        <f>P7/P6</f>
        <v>0.42986054142739949</v>
      </c>
      <c r="Q8" s="72">
        <f>Q7/Q6</f>
        <v>0.42857142857142855</v>
      </c>
      <c r="R8" s="72">
        <f>R7/R6</f>
        <v>0.40015360983102921</v>
      </c>
      <c r="S8" s="59">
        <f>S7/S6</f>
        <v>0.41465883782142132</v>
      </c>
      <c r="T8" s="61"/>
      <c r="U8" s="58" t="e">
        <f>U7/U6</f>
        <v>#DIV/0!</v>
      </c>
      <c r="V8" s="72" t="e">
        <f>V7/V6</f>
        <v>#DIV/0!</v>
      </c>
      <c r="W8" s="72" t="e">
        <f>W7/W6</f>
        <v>#DIV/0!</v>
      </c>
      <c r="X8" s="72" t="e">
        <f>X7/X6</f>
        <v>#DIV/0!</v>
      </c>
      <c r="Y8" s="59" t="e">
        <f>Y7/Y6</f>
        <v>#DIV/0!</v>
      </c>
      <c r="Z8" s="176"/>
      <c r="AA8" s="229"/>
      <c r="AB8" s="229"/>
      <c r="AC8" s="229"/>
      <c r="AD8" s="229"/>
      <c r="AE8" s="229"/>
      <c r="AF8" s="229"/>
      <c r="AG8" s="229"/>
      <c r="AH8" s="229"/>
    </row>
    <row r="9" spans="1:34">
      <c r="A9" s="52" t="s">
        <v>21</v>
      </c>
      <c r="B9" s="123"/>
      <c r="C9" s="124">
        <f>19+259</f>
        <v>278</v>
      </c>
      <c r="D9" s="123">
        <v>288</v>
      </c>
      <c r="E9" s="123">
        <v>264</v>
      </c>
      <c r="F9" s="123">
        <f t="shared" si="0"/>
        <v>290</v>
      </c>
      <c r="G9" s="125">
        <f>1163-28-15</f>
        <v>1120</v>
      </c>
      <c r="H9" s="1"/>
      <c r="I9" s="124">
        <v>311</v>
      </c>
      <c r="J9" s="123">
        <v>290</v>
      </c>
      <c r="K9" s="123">
        <v>258</v>
      </c>
      <c r="L9" s="123">
        <f>M9-K9-J9-I9</f>
        <v>302</v>
      </c>
      <c r="M9" s="125">
        <v>1161</v>
      </c>
      <c r="N9" s="1"/>
      <c r="O9" s="124">
        <v>297</v>
      </c>
      <c r="P9" s="123">
        <v>320</v>
      </c>
      <c r="Q9" s="123">
        <v>275</v>
      </c>
      <c r="R9" s="123">
        <f>268+31</f>
        <v>299</v>
      </c>
      <c r="S9" s="125">
        <f>SUM(O9:R9)</f>
        <v>1191</v>
      </c>
      <c r="T9" s="1"/>
      <c r="U9" s="124"/>
      <c r="V9" s="123"/>
      <c r="W9" s="123"/>
      <c r="X9" s="123"/>
      <c r="Y9" s="125">
        <f>SUM(U9:X9)</f>
        <v>0</v>
      </c>
      <c r="Z9" s="1"/>
      <c r="AA9" s="230"/>
      <c r="AB9" s="230"/>
      <c r="AC9" s="230"/>
      <c r="AD9" s="230"/>
      <c r="AE9" s="230"/>
      <c r="AF9" s="230"/>
      <c r="AG9" s="230"/>
      <c r="AH9" s="230"/>
    </row>
    <row r="10" spans="1:34">
      <c r="A10" s="77" t="s">
        <v>86</v>
      </c>
      <c r="B10" s="123"/>
      <c r="C10" s="127">
        <f>C7-C9</f>
        <v>139</v>
      </c>
      <c r="D10" s="128">
        <f>D7-D9</f>
        <v>183</v>
      </c>
      <c r="E10" s="128">
        <f>E7-E9</f>
        <v>270</v>
      </c>
      <c r="F10" s="128">
        <f>F7-F9</f>
        <v>216</v>
      </c>
      <c r="G10" s="129">
        <f>G7-G9</f>
        <v>808</v>
      </c>
      <c r="H10" s="1"/>
      <c r="I10" s="127">
        <f>I7-I9</f>
        <v>151</v>
      </c>
      <c r="J10" s="128">
        <f>J7-J9</f>
        <v>118</v>
      </c>
      <c r="K10" s="128">
        <f>K7-K9</f>
        <v>316</v>
      </c>
      <c r="L10" s="128">
        <f>L7-L9</f>
        <v>296</v>
      </c>
      <c r="M10" s="129">
        <f>M7-M9</f>
        <v>881</v>
      </c>
      <c r="N10" s="1"/>
      <c r="O10" s="127">
        <f>O7-O9</f>
        <v>148</v>
      </c>
      <c r="P10" s="128">
        <f>P7-P9</f>
        <v>204</v>
      </c>
      <c r="Q10" s="128">
        <f>Q7-Q9</f>
        <v>283</v>
      </c>
      <c r="R10" s="128">
        <f>R7-R9</f>
        <v>222</v>
      </c>
      <c r="S10" s="129">
        <f>S7-S9</f>
        <v>857</v>
      </c>
      <c r="T10" s="1"/>
      <c r="U10" s="127">
        <f>U7-U9</f>
        <v>0</v>
      </c>
      <c r="V10" s="128">
        <f>V7-V9</f>
        <v>0</v>
      </c>
      <c r="W10" s="128">
        <f>W7-W9</f>
        <v>0</v>
      </c>
      <c r="X10" s="128">
        <f>X7-X9</f>
        <v>0</v>
      </c>
      <c r="Y10" s="129">
        <f>Y7-Y9</f>
        <v>0</v>
      </c>
      <c r="Z10" s="1"/>
      <c r="AA10" s="230"/>
      <c r="AB10" s="230"/>
      <c r="AC10" s="230"/>
      <c r="AD10" s="230"/>
      <c r="AE10" s="230"/>
      <c r="AF10" s="230"/>
      <c r="AG10" s="230"/>
      <c r="AH10" s="230"/>
    </row>
    <row r="11" spans="1:34" s="60" customFormat="1">
      <c r="A11" s="54" t="s">
        <v>85</v>
      </c>
      <c r="B11" s="57"/>
      <c r="C11" s="58">
        <f t="shared" ref="C11" si="1">C10/C6</f>
        <v>0.13339731285988485</v>
      </c>
      <c r="D11" s="72">
        <f>D10/D6</f>
        <v>0.16819852941176472</v>
      </c>
      <c r="E11" s="72">
        <f>E10/E6</f>
        <v>0.21809369951534732</v>
      </c>
      <c r="F11" s="72">
        <f>F10/F6</f>
        <v>0.1707509881422925</v>
      </c>
      <c r="G11" s="59">
        <f>G10/G6</f>
        <v>0.17440103604575868</v>
      </c>
      <c r="H11" s="61"/>
      <c r="I11" s="58">
        <f t="shared" ref="I11:M11" si="2">I10/I6</f>
        <v>0.12928082191780821</v>
      </c>
      <c r="J11" s="72">
        <f t="shared" si="2"/>
        <v>0.11184834123222749</v>
      </c>
      <c r="K11" s="72">
        <f t="shared" si="2"/>
        <v>0.24553224553224554</v>
      </c>
      <c r="L11" s="72">
        <f t="shared" si="2"/>
        <v>0.20757363253856942</v>
      </c>
      <c r="M11" s="59">
        <f t="shared" si="2"/>
        <v>0.17848460291734197</v>
      </c>
      <c r="O11" s="58">
        <f t="shared" ref="O11" si="3">O10/O6</f>
        <v>0.13261648745519714</v>
      </c>
      <c r="P11" s="72">
        <f>P10/P6</f>
        <v>0.16735028712059064</v>
      </c>
      <c r="Q11" s="72">
        <f>Q10/Q6</f>
        <v>0.217357910906298</v>
      </c>
      <c r="R11" s="72">
        <f>R10/R6</f>
        <v>0.17050691244239632</v>
      </c>
      <c r="S11" s="59">
        <f>S10/S6</f>
        <v>0.17351690625632718</v>
      </c>
      <c r="T11" s="61"/>
      <c r="U11" s="58" t="e">
        <f t="shared" ref="U11" si="4">U10/U6</f>
        <v>#DIV/0!</v>
      </c>
      <c r="V11" s="72" t="e">
        <f>V10/V6</f>
        <v>#DIV/0!</v>
      </c>
      <c r="W11" s="72" t="e">
        <f>W10/W6</f>
        <v>#DIV/0!</v>
      </c>
      <c r="X11" s="72" t="e">
        <f>X10/X6</f>
        <v>#DIV/0!</v>
      </c>
      <c r="Y11" s="59" t="e">
        <f>Y10/Y6</f>
        <v>#DIV/0!</v>
      </c>
      <c r="AA11" s="229"/>
      <c r="AB11" s="229"/>
      <c r="AC11" s="229"/>
      <c r="AD11" s="229"/>
      <c r="AE11" s="229"/>
      <c r="AF11" s="229"/>
      <c r="AG11" s="229"/>
      <c r="AH11" s="229"/>
    </row>
    <row r="12" spans="1:34" ht="5.25" customHeight="1">
      <c r="A12" s="52"/>
      <c r="B12" s="1"/>
      <c r="C12" s="135"/>
      <c r="D12" s="134"/>
      <c r="E12" s="134"/>
      <c r="F12" s="134"/>
      <c r="G12" s="125"/>
      <c r="H12" s="1"/>
      <c r="I12" s="135"/>
      <c r="J12" s="134"/>
      <c r="K12" s="134"/>
      <c r="L12" s="134"/>
      <c r="M12" s="136"/>
      <c r="N12" s="1"/>
      <c r="O12" s="135"/>
      <c r="P12" s="134"/>
      <c r="Q12" s="134"/>
      <c r="R12" s="134"/>
      <c r="S12" s="125"/>
      <c r="T12" s="1"/>
      <c r="U12" s="135"/>
      <c r="V12" s="134"/>
      <c r="W12" s="134"/>
      <c r="X12" s="134"/>
      <c r="Y12" s="125"/>
      <c r="Z12" s="1"/>
      <c r="AA12" s="230"/>
      <c r="AB12" s="230"/>
      <c r="AC12" s="230"/>
      <c r="AD12" s="230"/>
      <c r="AE12" s="230"/>
      <c r="AF12" s="230"/>
      <c r="AG12" s="230"/>
      <c r="AH12" s="230"/>
    </row>
    <row r="13" spans="1:34">
      <c r="A13" s="53" t="s">
        <v>87</v>
      </c>
      <c r="B13" s="1"/>
      <c r="C13" s="135"/>
      <c r="D13" s="134"/>
      <c r="E13" s="134"/>
      <c r="F13" s="134"/>
      <c r="G13" s="125"/>
      <c r="H13" s="1"/>
      <c r="I13" s="135"/>
      <c r="J13" s="134"/>
      <c r="K13" s="134"/>
      <c r="L13" s="134"/>
      <c r="M13" s="136"/>
      <c r="N13" s="1"/>
      <c r="O13" s="135"/>
      <c r="P13" s="134"/>
      <c r="Q13" s="134"/>
      <c r="R13" s="134"/>
      <c r="S13" s="125"/>
      <c r="T13" s="1"/>
      <c r="U13" s="135"/>
      <c r="V13" s="134"/>
      <c r="W13" s="134"/>
      <c r="X13" s="134"/>
      <c r="Y13" s="125"/>
      <c r="Z13" s="1"/>
      <c r="AA13" s="230"/>
      <c r="AB13" s="230"/>
      <c r="AC13" s="230"/>
      <c r="AD13" s="230"/>
      <c r="AE13" s="230"/>
      <c r="AF13" s="230"/>
      <c r="AG13" s="230"/>
      <c r="AH13" s="230"/>
    </row>
    <row r="14" spans="1:34">
      <c r="A14" s="77" t="s">
        <v>84</v>
      </c>
      <c r="B14" s="126"/>
      <c r="C14" s="127">
        <v>1039</v>
      </c>
      <c r="D14" s="128">
        <v>1230</v>
      </c>
      <c r="E14" s="128">
        <v>1140</v>
      </c>
      <c r="F14" s="128">
        <v>1304</v>
      </c>
      <c r="G14" s="129">
        <f>SUM(C14:F14)</f>
        <v>4713</v>
      </c>
      <c r="H14" s="1"/>
      <c r="I14" s="127">
        <v>1134</v>
      </c>
      <c r="J14" s="128">
        <v>1264</v>
      </c>
      <c r="K14" s="128">
        <v>1291</v>
      </c>
      <c r="L14" s="128">
        <v>1316</v>
      </c>
      <c r="M14" s="129">
        <f>SUM(I14:L14)</f>
        <v>5005</v>
      </c>
      <c r="N14" s="137"/>
      <c r="O14" s="127">
        <v>1128</v>
      </c>
      <c r="P14" s="128">
        <v>1378</v>
      </c>
      <c r="Q14" s="128">
        <v>1206</v>
      </c>
      <c r="R14" s="128">
        <v>1346</v>
      </c>
      <c r="S14" s="129">
        <f>SUM(O14:R14)</f>
        <v>5058</v>
      </c>
      <c r="T14" s="1"/>
      <c r="U14" s="127"/>
      <c r="V14" s="128"/>
      <c r="W14" s="128"/>
      <c r="X14" s="128"/>
      <c r="Y14" s="129">
        <f>SUM(U14:X14)</f>
        <v>0</v>
      </c>
      <c r="Z14" s="1"/>
      <c r="AA14" s="230"/>
      <c r="AB14" s="230"/>
      <c r="AC14" s="230"/>
      <c r="AD14" s="230"/>
      <c r="AE14" s="230"/>
      <c r="AF14" s="230"/>
      <c r="AG14" s="230"/>
      <c r="AH14" s="230"/>
    </row>
    <row r="15" spans="1:34">
      <c r="A15" s="52" t="s">
        <v>15</v>
      </c>
      <c r="B15" s="1"/>
      <c r="C15" s="124">
        <v>457</v>
      </c>
      <c r="D15" s="123">
        <v>570</v>
      </c>
      <c r="E15" s="123">
        <v>528</v>
      </c>
      <c r="F15" s="123">
        <f t="shared" ref="F15" si="5">G15-E15-D15-C15</f>
        <v>602</v>
      </c>
      <c r="G15" s="125">
        <v>2157</v>
      </c>
      <c r="H15" s="1"/>
      <c r="I15" s="124">
        <v>511</v>
      </c>
      <c r="J15" s="123">
        <v>587</v>
      </c>
      <c r="K15" s="123">
        <v>603</v>
      </c>
      <c r="L15" s="123">
        <f>M15-K15-J15-I15</f>
        <v>623</v>
      </c>
      <c r="M15" s="125">
        <v>2324</v>
      </c>
      <c r="N15" s="1"/>
      <c r="O15" s="124">
        <v>499</v>
      </c>
      <c r="P15" s="123">
        <v>639</v>
      </c>
      <c r="Q15" s="123">
        <v>556</v>
      </c>
      <c r="R15" s="123">
        <v>616</v>
      </c>
      <c r="S15" s="125">
        <f>SUM(O15:R15)</f>
        <v>2310</v>
      </c>
      <c r="T15" s="1"/>
      <c r="U15" s="124"/>
      <c r="V15" s="123"/>
      <c r="W15" s="123"/>
      <c r="X15" s="123"/>
      <c r="Y15" s="125">
        <f>SUM(U15:X15)</f>
        <v>0</v>
      </c>
      <c r="Z15" s="1"/>
      <c r="AA15" s="230"/>
      <c r="AB15" s="230"/>
      <c r="AC15" s="230"/>
      <c r="AD15" s="230"/>
      <c r="AE15" s="230"/>
      <c r="AF15" s="230"/>
      <c r="AG15" s="230"/>
      <c r="AH15" s="230"/>
    </row>
    <row r="16" spans="1:34" s="60" customFormat="1">
      <c r="A16" s="54" t="s">
        <v>85</v>
      </c>
      <c r="C16" s="58">
        <f>C15/C14</f>
        <v>0.43984600577478344</v>
      </c>
      <c r="D16" s="72">
        <f>D15/D14</f>
        <v>0.46341463414634149</v>
      </c>
      <c r="E16" s="72">
        <f>E15/E14</f>
        <v>0.4631578947368421</v>
      </c>
      <c r="F16" s="72">
        <f>F15/F14</f>
        <v>0.46165644171779141</v>
      </c>
      <c r="G16" s="59">
        <f>G15/G14</f>
        <v>0.4576702737110121</v>
      </c>
      <c r="H16" s="61"/>
      <c r="I16" s="58">
        <f>I15/I14</f>
        <v>0.45061728395061729</v>
      </c>
      <c r="J16" s="72">
        <f>J15/J14</f>
        <v>0.46439873417721517</v>
      </c>
      <c r="K16" s="72">
        <f>K15/K14</f>
        <v>0.46707978311386522</v>
      </c>
      <c r="L16" s="72">
        <f>L15/L14</f>
        <v>0.47340425531914893</v>
      </c>
      <c r="M16" s="59">
        <f>M15/M14</f>
        <v>0.46433566433566431</v>
      </c>
      <c r="O16" s="58">
        <f>O15/O14</f>
        <v>0.44237588652482268</v>
      </c>
      <c r="P16" s="72">
        <f>P15/P14</f>
        <v>0.46371552975326558</v>
      </c>
      <c r="Q16" s="72">
        <f>Q15/Q14</f>
        <v>0.46102819237147596</v>
      </c>
      <c r="R16" s="72">
        <f>R15/R14</f>
        <v>0.4576523031203566</v>
      </c>
      <c r="S16" s="59">
        <f>S15/S14</f>
        <v>0.45670225385527874</v>
      </c>
      <c r="T16" s="61"/>
      <c r="U16" s="58" t="e">
        <f>U15/U14</f>
        <v>#DIV/0!</v>
      </c>
      <c r="V16" s="72" t="e">
        <f>V15/V14</f>
        <v>#DIV/0!</v>
      </c>
      <c r="W16" s="72" t="e">
        <f>W15/W14</f>
        <v>#DIV/0!</v>
      </c>
      <c r="X16" s="72" t="e">
        <f>X15/X14</f>
        <v>#DIV/0!</v>
      </c>
      <c r="Y16" s="59" t="e">
        <f>Y15/Y14</f>
        <v>#DIV/0!</v>
      </c>
      <c r="Z16" s="61"/>
      <c r="AA16" s="229"/>
      <c r="AB16" s="229"/>
      <c r="AC16" s="229"/>
      <c r="AD16" s="229"/>
      <c r="AE16" s="229"/>
      <c r="AF16" s="229"/>
      <c r="AG16" s="229"/>
      <c r="AH16" s="229"/>
    </row>
    <row r="17" spans="1:34">
      <c r="A17" s="52" t="s">
        <v>21</v>
      </c>
      <c r="B17" s="1"/>
      <c r="C17" s="138">
        <v>365</v>
      </c>
      <c r="D17" s="139">
        <v>377</v>
      </c>
      <c r="E17" s="123">
        <v>360</v>
      </c>
      <c r="F17" s="123">
        <f t="shared" ref="F17" si="6">G17-E17-D17-C17</f>
        <v>386</v>
      </c>
      <c r="G17" s="141">
        <v>1488</v>
      </c>
      <c r="H17" s="1"/>
      <c r="I17" s="138">
        <v>397</v>
      </c>
      <c r="J17" s="123">
        <v>381</v>
      </c>
      <c r="K17" s="123">
        <v>382</v>
      </c>
      <c r="L17" s="123">
        <f>M17-K17-J17-I17</f>
        <v>374</v>
      </c>
      <c r="M17" s="141">
        <v>1534</v>
      </c>
      <c r="N17" s="1"/>
      <c r="O17" s="138">
        <v>391</v>
      </c>
      <c r="P17" s="139">
        <v>422</v>
      </c>
      <c r="Q17" s="123">
        <v>382</v>
      </c>
      <c r="R17" s="123">
        <v>403</v>
      </c>
      <c r="S17" s="125">
        <f>SUM(O17:R17)</f>
        <v>1598</v>
      </c>
      <c r="T17" s="1"/>
      <c r="U17" s="138"/>
      <c r="V17" s="139"/>
      <c r="W17" s="123"/>
      <c r="X17" s="123"/>
      <c r="Y17" s="125">
        <f>SUM(U17:X17)</f>
        <v>0</v>
      </c>
      <c r="Z17" s="1"/>
      <c r="AA17" s="230"/>
      <c r="AB17" s="230"/>
      <c r="AC17" s="230"/>
      <c r="AD17" s="230"/>
      <c r="AE17" s="230"/>
      <c r="AF17" s="230"/>
      <c r="AG17" s="230"/>
      <c r="AH17" s="230"/>
    </row>
    <row r="18" spans="1:34">
      <c r="A18" s="77" t="s">
        <v>86</v>
      </c>
      <c r="B18" s="1"/>
      <c r="C18" s="127">
        <f>C15-C17</f>
        <v>92</v>
      </c>
      <c r="D18" s="128">
        <f>D15-D17</f>
        <v>193</v>
      </c>
      <c r="E18" s="128">
        <f>E15-E17</f>
        <v>168</v>
      </c>
      <c r="F18" s="128">
        <f>F15-F17</f>
        <v>216</v>
      </c>
      <c r="G18" s="129">
        <f>G15-G17</f>
        <v>669</v>
      </c>
      <c r="H18" s="1"/>
      <c r="I18" s="127">
        <f>I15-I17</f>
        <v>114</v>
      </c>
      <c r="J18" s="128">
        <f>J15-J17</f>
        <v>206</v>
      </c>
      <c r="K18" s="128">
        <f>K15-K17</f>
        <v>221</v>
      </c>
      <c r="L18" s="128">
        <f>L15-L17</f>
        <v>249</v>
      </c>
      <c r="M18" s="129">
        <f>M15-M17</f>
        <v>790</v>
      </c>
      <c r="N18" s="1"/>
      <c r="O18" s="127">
        <f>O15-O17</f>
        <v>108</v>
      </c>
      <c r="P18" s="128">
        <f>P15-P17</f>
        <v>217</v>
      </c>
      <c r="Q18" s="128">
        <f>Q15-Q17</f>
        <v>174</v>
      </c>
      <c r="R18" s="128">
        <f>R15-R17</f>
        <v>213</v>
      </c>
      <c r="S18" s="129">
        <f>S15-S17</f>
        <v>712</v>
      </c>
      <c r="T18" s="1"/>
      <c r="U18" s="127">
        <f>U15-U17</f>
        <v>0</v>
      </c>
      <c r="V18" s="128">
        <f>V15-V17</f>
        <v>0</v>
      </c>
      <c r="W18" s="128">
        <f>W15-W17</f>
        <v>0</v>
      </c>
      <c r="X18" s="128">
        <f>X15-X17</f>
        <v>0</v>
      </c>
      <c r="Y18" s="129">
        <f>Y15-Y17</f>
        <v>0</v>
      </c>
      <c r="Z18" s="1"/>
      <c r="AA18" s="230"/>
      <c r="AB18" s="230"/>
      <c r="AC18" s="230"/>
      <c r="AD18" s="230"/>
      <c r="AE18" s="230"/>
      <c r="AF18" s="230"/>
      <c r="AG18" s="230"/>
      <c r="AH18" s="230"/>
    </row>
    <row r="19" spans="1:34" s="60" customFormat="1">
      <c r="A19" s="54" t="s">
        <v>85</v>
      </c>
      <c r="B19" s="57"/>
      <c r="C19" s="58">
        <f>C18/C14</f>
        <v>8.8546679499518763E-2</v>
      </c>
      <c r="D19" s="72">
        <f>D18/D14</f>
        <v>0.15691056910569107</v>
      </c>
      <c r="E19" s="72">
        <f>E18/E14</f>
        <v>0.14736842105263157</v>
      </c>
      <c r="F19" s="72">
        <f>F18/F14</f>
        <v>0.16564417177914109</v>
      </c>
      <c r="G19" s="59">
        <f>G18/G14</f>
        <v>0.14194780394653086</v>
      </c>
      <c r="H19" s="61"/>
      <c r="I19" s="58">
        <f>I18/I14</f>
        <v>0.10052910052910052</v>
      </c>
      <c r="J19" s="72">
        <f>J18/J14</f>
        <v>0.16297468354430381</v>
      </c>
      <c r="K19" s="72">
        <f>K18/K14</f>
        <v>0.17118512780790085</v>
      </c>
      <c r="L19" s="72">
        <f>L18/L14</f>
        <v>0.18920972644376899</v>
      </c>
      <c r="M19" s="59">
        <f>M18/M14</f>
        <v>0.15784215784215785</v>
      </c>
      <c r="O19" s="58">
        <f>O18/O14</f>
        <v>9.5744680851063829E-2</v>
      </c>
      <c r="P19" s="72">
        <f>P18/P14</f>
        <v>0.15747460087082729</v>
      </c>
      <c r="Q19" s="72">
        <f>Q18/Q14</f>
        <v>0.14427860696517414</v>
      </c>
      <c r="R19" s="72">
        <f>R18/R14</f>
        <v>0.15824665676077265</v>
      </c>
      <c r="S19" s="59">
        <f>S18/S14</f>
        <v>0.14076710162119416</v>
      </c>
      <c r="T19" s="61"/>
      <c r="U19" s="58" t="e">
        <f>U18/U14</f>
        <v>#DIV/0!</v>
      </c>
      <c r="V19" s="72" t="e">
        <f>V18/V14</f>
        <v>#DIV/0!</v>
      </c>
      <c r="W19" s="72" t="e">
        <f>W18/W14</f>
        <v>#DIV/0!</v>
      </c>
      <c r="X19" s="72" t="e">
        <f>X18/X14</f>
        <v>#DIV/0!</v>
      </c>
      <c r="Y19" s="59" t="e">
        <f>Y18/Y14</f>
        <v>#DIV/0!</v>
      </c>
      <c r="AA19" s="229"/>
      <c r="AB19" s="229"/>
      <c r="AC19" s="229"/>
      <c r="AD19" s="229"/>
      <c r="AE19" s="229"/>
      <c r="AF19" s="229"/>
      <c r="AG19" s="229"/>
      <c r="AH19" s="229"/>
    </row>
    <row r="20" spans="1:34" ht="5.25" customHeight="1">
      <c r="A20" s="52"/>
      <c r="B20" s="1"/>
      <c r="C20" s="146"/>
      <c r="D20" s="148"/>
      <c r="E20" s="148"/>
      <c r="F20" s="148"/>
      <c r="G20" s="147"/>
      <c r="H20" s="1"/>
      <c r="I20" s="146"/>
      <c r="J20" s="148"/>
      <c r="K20" s="148"/>
      <c r="L20" s="148"/>
      <c r="M20" s="147"/>
      <c r="N20" s="1"/>
      <c r="O20" s="146"/>
      <c r="P20" s="148"/>
      <c r="Q20" s="148"/>
      <c r="R20" s="148"/>
      <c r="S20" s="147"/>
      <c r="T20" s="1"/>
      <c r="U20" s="146"/>
      <c r="V20" s="148"/>
      <c r="W20" s="148"/>
      <c r="X20" s="148"/>
      <c r="Y20" s="147"/>
      <c r="Z20" s="1"/>
      <c r="AA20" s="230"/>
      <c r="AB20" s="230"/>
      <c r="AC20" s="230"/>
      <c r="AD20" s="230"/>
      <c r="AE20" s="230"/>
      <c r="AF20" s="230"/>
      <c r="AG20" s="230"/>
      <c r="AH20" s="230"/>
    </row>
    <row r="21" spans="1:34">
      <c r="A21" s="53" t="s">
        <v>88</v>
      </c>
      <c r="B21" s="1"/>
      <c r="C21" s="121"/>
      <c r="D21" s="116"/>
      <c r="E21" s="116"/>
      <c r="F21" s="116"/>
      <c r="G21" s="122"/>
      <c r="H21" s="1"/>
      <c r="I21" s="121"/>
      <c r="J21" s="116"/>
      <c r="K21" s="116"/>
      <c r="L21" s="116"/>
      <c r="M21" s="122"/>
      <c r="N21" s="1"/>
      <c r="O21" s="121"/>
      <c r="P21" s="116"/>
      <c r="Q21" s="116"/>
      <c r="R21" s="116"/>
      <c r="S21" s="122"/>
      <c r="T21" s="1"/>
      <c r="U21" s="121"/>
      <c r="V21" s="116"/>
      <c r="W21" s="116"/>
      <c r="X21" s="116"/>
      <c r="Y21" s="122"/>
      <c r="Z21" s="1"/>
      <c r="AA21" s="230"/>
      <c r="AB21" s="230"/>
      <c r="AC21" s="230"/>
      <c r="AD21" s="230"/>
      <c r="AE21" s="230"/>
      <c r="AF21" s="230"/>
      <c r="AG21" s="230"/>
      <c r="AH21" s="230"/>
    </row>
    <row r="22" spans="1:34">
      <c r="A22" s="52" t="s">
        <v>21</v>
      </c>
      <c r="B22" s="1"/>
      <c r="C22" s="138">
        <v>24</v>
      </c>
      <c r="D22" s="139">
        <v>24</v>
      </c>
      <c r="E22" s="123">
        <v>24</v>
      </c>
      <c r="F22" s="123">
        <v>24</v>
      </c>
      <c r="G22" s="141">
        <f>SUM(C22:F22)</f>
        <v>96</v>
      </c>
      <c r="H22" s="1"/>
      <c r="I22" s="138">
        <v>37</v>
      </c>
      <c r="J22" s="123">
        <v>36</v>
      </c>
      <c r="K22" s="123">
        <v>36</v>
      </c>
      <c r="L22" s="123">
        <f>M22-K22-J22-I22</f>
        <v>40</v>
      </c>
      <c r="M22" s="141">
        <v>149</v>
      </c>
      <c r="N22" s="1"/>
      <c r="O22" s="138">
        <v>25</v>
      </c>
      <c r="P22" s="139">
        <v>25</v>
      </c>
      <c r="Q22" s="123">
        <v>24</v>
      </c>
      <c r="R22" s="123">
        <v>24</v>
      </c>
      <c r="S22" s="141">
        <f>SUM(O22:R22)</f>
        <v>98</v>
      </c>
      <c r="T22" s="1"/>
      <c r="U22" s="138"/>
      <c r="V22" s="139"/>
      <c r="W22" s="123"/>
      <c r="X22" s="123"/>
      <c r="Y22" s="141">
        <f>SUM(U22:X22)</f>
        <v>0</v>
      </c>
      <c r="Z22" s="1"/>
      <c r="AA22" s="230"/>
      <c r="AB22" s="230"/>
      <c r="AC22" s="230"/>
      <c r="AD22" s="230"/>
      <c r="AE22" s="230"/>
      <c r="AF22" s="230"/>
      <c r="AG22" s="230"/>
      <c r="AH22" s="230"/>
    </row>
    <row r="23" spans="1:34">
      <c r="A23" s="77" t="s">
        <v>86</v>
      </c>
      <c r="B23" s="1"/>
      <c r="C23" s="127">
        <f>-C22</f>
        <v>-24</v>
      </c>
      <c r="D23" s="128">
        <f>-D22</f>
        <v>-24</v>
      </c>
      <c r="E23" s="128">
        <f>-E22</f>
        <v>-24</v>
      </c>
      <c r="F23" s="128">
        <f>-F22</f>
        <v>-24</v>
      </c>
      <c r="G23" s="129">
        <f>-G22</f>
        <v>-96</v>
      </c>
      <c r="H23" s="1"/>
      <c r="I23" s="127">
        <f>-I22</f>
        <v>-37</v>
      </c>
      <c r="J23" s="128">
        <f>-J22</f>
        <v>-36</v>
      </c>
      <c r="K23" s="128">
        <f>-K22</f>
        <v>-36</v>
      </c>
      <c r="L23" s="128">
        <f>-L22</f>
        <v>-40</v>
      </c>
      <c r="M23" s="129">
        <f>-M22</f>
        <v>-149</v>
      </c>
      <c r="N23" s="1"/>
      <c r="O23" s="127">
        <f>-O22</f>
        <v>-25</v>
      </c>
      <c r="P23" s="128">
        <f>-P22</f>
        <v>-25</v>
      </c>
      <c r="Q23" s="128">
        <f>-Q22</f>
        <v>-24</v>
      </c>
      <c r="R23" s="128">
        <f>-R22</f>
        <v>-24</v>
      </c>
      <c r="S23" s="129">
        <f>-S22</f>
        <v>-98</v>
      </c>
      <c r="T23" s="1"/>
      <c r="U23" s="127">
        <f>-U22</f>
        <v>0</v>
      </c>
      <c r="V23" s="128">
        <f>-V22</f>
        <v>0</v>
      </c>
      <c r="W23" s="128">
        <f>-W22</f>
        <v>0</v>
      </c>
      <c r="X23" s="128">
        <f>-X22</f>
        <v>0</v>
      </c>
      <c r="Y23" s="129">
        <f>-Y22</f>
        <v>0</v>
      </c>
      <c r="Z23" s="1"/>
      <c r="AA23" s="230"/>
      <c r="AB23" s="230"/>
      <c r="AC23" s="230"/>
      <c r="AD23" s="230"/>
      <c r="AE23" s="230"/>
      <c r="AF23" s="230"/>
      <c r="AG23" s="230"/>
      <c r="AH23" s="230"/>
    </row>
    <row r="24" spans="1:34" s="60" customFormat="1" ht="12" thickBot="1">
      <c r="A24" s="65" t="s">
        <v>85</v>
      </c>
      <c r="C24" s="66" t="s">
        <v>89</v>
      </c>
      <c r="D24" s="67" t="s">
        <v>89</v>
      </c>
      <c r="E24" s="67" t="s">
        <v>89</v>
      </c>
      <c r="F24" s="67" t="s">
        <v>89</v>
      </c>
      <c r="G24" s="68" t="s">
        <v>89</v>
      </c>
      <c r="I24" s="66" t="s">
        <v>89</v>
      </c>
      <c r="J24" s="67" t="s">
        <v>89</v>
      </c>
      <c r="K24" s="67" t="s">
        <v>89</v>
      </c>
      <c r="L24" s="67" t="s">
        <v>89</v>
      </c>
      <c r="M24" s="68" t="s">
        <v>89</v>
      </c>
      <c r="O24" s="66" t="s">
        <v>89</v>
      </c>
      <c r="P24" s="67" t="s">
        <v>89</v>
      </c>
      <c r="Q24" s="67" t="s">
        <v>89</v>
      </c>
      <c r="R24" s="67" t="s">
        <v>89</v>
      </c>
      <c r="S24" s="68" t="s">
        <v>89</v>
      </c>
      <c r="U24" s="66" t="s">
        <v>89</v>
      </c>
      <c r="V24" s="67" t="s">
        <v>89</v>
      </c>
      <c r="W24" s="67" t="s">
        <v>89</v>
      </c>
      <c r="X24" s="67" t="s">
        <v>89</v>
      </c>
      <c r="Y24" s="68" t="s">
        <v>89</v>
      </c>
      <c r="AA24" s="229"/>
      <c r="AB24" s="229"/>
      <c r="AC24" s="229"/>
      <c r="AD24" s="229"/>
      <c r="AE24" s="229"/>
      <c r="AF24" s="229"/>
      <c r="AG24" s="229"/>
      <c r="AH24" s="229"/>
    </row>
    <row r="25" spans="1:34" ht="5.25" customHeight="1" thickBot="1">
      <c r="A25" s="1"/>
      <c r="B25" s="1"/>
      <c r="C25" s="130"/>
      <c r="D25" s="130"/>
      <c r="E25" s="130"/>
      <c r="F25" s="130"/>
      <c r="G25" s="130"/>
      <c r="H25" s="1"/>
      <c r="I25" s="130"/>
      <c r="J25" s="130"/>
      <c r="K25" s="130"/>
      <c r="L25" s="130"/>
      <c r="M25" s="13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230"/>
      <c r="AB25" s="230"/>
      <c r="AC25" s="230"/>
      <c r="AD25" s="230"/>
      <c r="AE25" s="230"/>
      <c r="AF25" s="230"/>
      <c r="AG25" s="230"/>
      <c r="AH25" s="230"/>
    </row>
    <row r="26" spans="1:34">
      <c r="A26" s="178" t="s">
        <v>90</v>
      </c>
      <c r="B26" s="123"/>
      <c r="C26" s="117"/>
      <c r="D26" s="119"/>
      <c r="E26" s="119"/>
      <c r="F26" s="119"/>
      <c r="G26" s="118"/>
      <c r="H26" s="123"/>
      <c r="I26" s="117"/>
      <c r="J26" s="119"/>
      <c r="K26" s="119"/>
      <c r="L26" s="119"/>
      <c r="M26" s="118"/>
      <c r="N26" s="1"/>
      <c r="O26" s="117"/>
      <c r="P26" s="119"/>
      <c r="Q26" s="119"/>
      <c r="R26" s="119"/>
      <c r="S26" s="118"/>
      <c r="T26" s="123"/>
      <c r="U26" s="117"/>
      <c r="V26" s="119"/>
      <c r="W26" s="119"/>
      <c r="X26" s="119"/>
      <c r="Y26" s="118"/>
      <c r="Z26" s="1"/>
      <c r="AA26" s="230"/>
      <c r="AB26" s="230"/>
      <c r="AC26" s="230"/>
      <c r="AD26" s="230"/>
      <c r="AE26" s="230"/>
      <c r="AF26" s="230"/>
      <c r="AG26" s="230"/>
      <c r="AH26" s="230"/>
    </row>
    <row r="27" spans="1:34">
      <c r="A27" s="77" t="s">
        <v>84</v>
      </c>
      <c r="B27" s="126"/>
      <c r="C27" s="127">
        <f t="shared" ref="C27:F28" si="7">C6+C14</f>
        <v>2081</v>
      </c>
      <c r="D27" s="128">
        <f t="shared" si="7"/>
        <v>2318</v>
      </c>
      <c r="E27" s="128">
        <f t="shared" si="7"/>
        <v>2378</v>
      </c>
      <c r="F27" s="128">
        <f t="shared" si="7"/>
        <v>2569</v>
      </c>
      <c r="G27" s="129">
        <f>SUM(C27:F27)</f>
        <v>9346</v>
      </c>
      <c r="H27" s="1"/>
      <c r="I27" s="127">
        <f t="shared" ref="I27:L28" si="8">I6+I14</f>
        <v>2302</v>
      </c>
      <c r="J27" s="128">
        <f t="shared" si="8"/>
        <v>2319</v>
      </c>
      <c r="K27" s="128">
        <f t="shared" si="8"/>
        <v>2578</v>
      </c>
      <c r="L27" s="128">
        <f t="shared" si="8"/>
        <v>2742</v>
      </c>
      <c r="M27" s="129">
        <f>SUM(I27:L27)</f>
        <v>9941</v>
      </c>
      <c r="N27" s="1"/>
      <c r="O27" s="127">
        <f t="shared" ref="O27:R28" si="9">O6+O14</f>
        <v>2244</v>
      </c>
      <c r="P27" s="128">
        <f t="shared" si="9"/>
        <v>2597</v>
      </c>
      <c r="Q27" s="128">
        <f t="shared" si="9"/>
        <v>2508</v>
      </c>
      <c r="R27" s="128">
        <f t="shared" si="9"/>
        <v>2648</v>
      </c>
      <c r="S27" s="129">
        <f>SUM(O27:R27)</f>
        <v>9997</v>
      </c>
      <c r="T27" s="1"/>
      <c r="U27" s="127">
        <f t="shared" ref="U27:X28" si="10">U6+U14</f>
        <v>0</v>
      </c>
      <c r="V27" s="128">
        <f t="shared" si="10"/>
        <v>0</v>
      </c>
      <c r="W27" s="128">
        <f t="shared" si="10"/>
        <v>0</v>
      </c>
      <c r="X27" s="128">
        <f t="shared" si="10"/>
        <v>0</v>
      </c>
      <c r="Y27" s="129">
        <f>SUM(U27:X27)</f>
        <v>0</v>
      </c>
      <c r="Z27" s="1"/>
      <c r="AA27" s="231">
        <f>M27/G27-1</f>
        <v>6.3663599400813231E-2</v>
      </c>
      <c r="AB27" s="232">
        <f>M27/S27-1</f>
        <v>-5.6016805041512185E-3</v>
      </c>
      <c r="AC27" s="230"/>
      <c r="AD27" s="230"/>
      <c r="AE27" s="230"/>
      <c r="AF27" s="230"/>
      <c r="AG27" s="230"/>
      <c r="AH27" s="230"/>
    </row>
    <row r="28" spans="1:34">
      <c r="A28" s="52" t="s">
        <v>15</v>
      </c>
      <c r="B28" s="123"/>
      <c r="C28" s="124">
        <f t="shared" si="7"/>
        <v>874</v>
      </c>
      <c r="D28" s="123">
        <f t="shared" si="7"/>
        <v>1041</v>
      </c>
      <c r="E28" s="123">
        <f t="shared" si="7"/>
        <v>1062</v>
      </c>
      <c r="F28" s="123">
        <f t="shared" si="7"/>
        <v>1108</v>
      </c>
      <c r="G28" s="125">
        <f>SUM(C28:F28)</f>
        <v>4085</v>
      </c>
      <c r="H28" s="1"/>
      <c r="I28" s="124">
        <f t="shared" si="8"/>
        <v>973</v>
      </c>
      <c r="J28" s="123">
        <f t="shared" si="8"/>
        <v>995</v>
      </c>
      <c r="K28" s="123">
        <f t="shared" si="8"/>
        <v>1177</v>
      </c>
      <c r="L28" s="123">
        <f t="shared" si="8"/>
        <v>1221</v>
      </c>
      <c r="M28" s="125">
        <f>SUM(I28:L28)</f>
        <v>4366</v>
      </c>
      <c r="N28" s="1"/>
      <c r="O28" s="124">
        <f t="shared" si="9"/>
        <v>944</v>
      </c>
      <c r="P28" s="123">
        <f t="shared" si="9"/>
        <v>1163</v>
      </c>
      <c r="Q28" s="123">
        <f t="shared" si="9"/>
        <v>1114</v>
      </c>
      <c r="R28" s="123">
        <f t="shared" si="9"/>
        <v>1137</v>
      </c>
      <c r="S28" s="125">
        <f>SUM(O28:R28)</f>
        <v>4358</v>
      </c>
      <c r="T28" s="1"/>
      <c r="U28" s="124">
        <f t="shared" si="10"/>
        <v>0</v>
      </c>
      <c r="V28" s="123">
        <f t="shared" si="10"/>
        <v>0</v>
      </c>
      <c r="W28" s="123">
        <f t="shared" si="10"/>
        <v>0</v>
      </c>
      <c r="X28" s="123">
        <f t="shared" si="10"/>
        <v>0</v>
      </c>
      <c r="Y28" s="125">
        <f>SUM(U28:X28)</f>
        <v>0</v>
      </c>
      <c r="Z28" s="1"/>
      <c r="AA28" s="231">
        <f>M28/G28-1</f>
        <v>6.8788249694002435E-2</v>
      </c>
      <c r="AB28" s="232">
        <f>M28/S28-1</f>
        <v>1.8357044515833199E-3</v>
      </c>
      <c r="AC28" s="230"/>
      <c r="AD28" s="230"/>
      <c r="AE28" s="230"/>
      <c r="AF28" s="230"/>
      <c r="AG28" s="230"/>
      <c r="AH28" s="230"/>
    </row>
    <row r="29" spans="1:34">
      <c r="A29" s="54" t="s">
        <v>85</v>
      </c>
      <c r="B29" s="64"/>
      <c r="C29" s="58">
        <f>C28/C27</f>
        <v>0.41999038923594428</v>
      </c>
      <c r="D29" s="72">
        <f t="shared" ref="D29:F29" si="11">D28/D27</f>
        <v>0.44909404659188956</v>
      </c>
      <c r="E29" s="72">
        <f t="shared" si="11"/>
        <v>0.44659377628259039</v>
      </c>
      <c r="F29" s="72">
        <f t="shared" si="11"/>
        <v>0.43129622421175556</v>
      </c>
      <c r="G29" s="59">
        <f>G28/G27</f>
        <v>0.43708538412154935</v>
      </c>
      <c r="H29" s="61"/>
      <c r="I29" s="58">
        <f>I28/I27</f>
        <v>0.42267593397046049</v>
      </c>
      <c r="J29" s="72">
        <f t="shared" ref="J29" si="12">J28/J27</f>
        <v>0.42906425183268648</v>
      </c>
      <c r="K29" s="72">
        <f t="shared" ref="K29" si="13">K28/K27</f>
        <v>0.45655546935608998</v>
      </c>
      <c r="L29" s="72">
        <f t="shared" ref="L29" si="14">L28/L27</f>
        <v>0.44529540481400437</v>
      </c>
      <c r="M29" s="59">
        <f>M28/M27</f>
        <v>0.43919122824665524</v>
      </c>
      <c r="N29" s="60"/>
      <c r="O29" s="58">
        <f>O28/O27</f>
        <v>0.42067736185383242</v>
      </c>
      <c r="P29" s="72">
        <f t="shared" ref="P29" si="15">P28/P27</f>
        <v>0.4478244127839815</v>
      </c>
      <c r="Q29" s="72">
        <f t="shared" ref="Q29" si="16">Q28/Q27</f>
        <v>0.44417862838915473</v>
      </c>
      <c r="R29" s="72">
        <f t="shared" ref="R29" si="17">R28/R27</f>
        <v>0.42938066465256797</v>
      </c>
      <c r="S29" s="59">
        <f>S28/S27</f>
        <v>0.4359307792337701</v>
      </c>
      <c r="T29" s="61"/>
      <c r="U29" s="58" t="e">
        <f>U28/U27</f>
        <v>#DIV/0!</v>
      </c>
      <c r="V29" s="72" t="e">
        <f t="shared" ref="V29" si="18">V28/V27</f>
        <v>#DIV/0!</v>
      </c>
      <c r="W29" s="72" t="e">
        <f t="shared" ref="W29" si="19">W28/W27</f>
        <v>#DIV/0!</v>
      </c>
      <c r="X29" s="72" t="e">
        <f t="shared" ref="X29" si="20">X28/X27</f>
        <v>#DIV/0!</v>
      </c>
      <c r="Y29" s="59" t="e">
        <f>Y28/Y27</f>
        <v>#DIV/0!</v>
      </c>
      <c r="Z29" s="1"/>
      <c r="AA29" s="230"/>
      <c r="AB29" s="230"/>
      <c r="AC29" s="230"/>
      <c r="AD29" s="230"/>
      <c r="AE29" s="230"/>
      <c r="AF29" s="230"/>
      <c r="AG29" s="230"/>
      <c r="AH29" s="230"/>
    </row>
    <row r="30" spans="1:34">
      <c r="A30" s="52" t="s">
        <v>21</v>
      </c>
      <c r="B30" s="123"/>
      <c r="C30" s="124">
        <f>C9+C17+C22</f>
        <v>667</v>
      </c>
      <c r="D30" s="123">
        <f>D9+D17+D22</f>
        <v>689</v>
      </c>
      <c r="E30" s="123">
        <f>E9+E17+E22</f>
        <v>648</v>
      </c>
      <c r="F30" s="123">
        <f>F9+F17+F22</f>
        <v>700</v>
      </c>
      <c r="G30" s="125">
        <f>SUM(C30:F30)</f>
        <v>2704</v>
      </c>
      <c r="H30" s="1"/>
      <c r="I30" s="124">
        <f>I9+I17+I22</f>
        <v>745</v>
      </c>
      <c r="J30" s="123">
        <f>J9+J17+J22</f>
        <v>707</v>
      </c>
      <c r="K30" s="123">
        <f>K9+K17+K22</f>
        <v>676</v>
      </c>
      <c r="L30" s="123">
        <f>L9+L17+L22</f>
        <v>716</v>
      </c>
      <c r="M30" s="125">
        <f>SUM(I30:L30)</f>
        <v>2844</v>
      </c>
      <c r="N30" s="1"/>
      <c r="O30" s="124">
        <f>O9+O17+O22</f>
        <v>713</v>
      </c>
      <c r="P30" s="123">
        <f>P9+P17+P22</f>
        <v>767</v>
      </c>
      <c r="Q30" s="123">
        <f>Q9+Q17+Q22</f>
        <v>681</v>
      </c>
      <c r="R30" s="123">
        <f>R9+R17+R22</f>
        <v>726</v>
      </c>
      <c r="S30" s="125">
        <f>SUM(O30:R30)</f>
        <v>2887</v>
      </c>
      <c r="T30" s="1"/>
      <c r="U30" s="124">
        <f>U9+U17+U22</f>
        <v>0</v>
      </c>
      <c r="V30" s="123">
        <f>V9+V17+V22</f>
        <v>0</v>
      </c>
      <c r="W30" s="123">
        <f>W9+W17+W22</f>
        <v>0</v>
      </c>
      <c r="X30" s="123">
        <f>X9+X17+X22</f>
        <v>0</v>
      </c>
      <c r="Y30" s="125">
        <f>SUM(U30:X30)</f>
        <v>0</v>
      </c>
      <c r="Z30" s="1"/>
      <c r="AA30" s="231">
        <f>M30/G30-1</f>
        <v>5.177514792899407E-2</v>
      </c>
      <c r="AB30" s="232">
        <f>M30/S30-1</f>
        <v>-1.4894354000692722E-2</v>
      </c>
      <c r="AC30" s="230"/>
      <c r="AD30" s="230"/>
      <c r="AE30" s="230"/>
      <c r="AF30" s="230"/>
      <c r="AG30" s="230"/>
      <c r="AH30" s="230"/>
    </row>
    <row r="31" spans="1:34">
      <c r="A31" s="77" t="s">
        <v>86</v>
      </c>
      <c r="B31" s="123"/>
      <c r="C31" s="127">
        <f>C28-C30</f>
        <v>207</v>
      </c>
      <c r="D31" s="128">
        <f t="shared" ref="D31:F31" si="21">D28-D30</f>
        <v>352</v>
      </c>
      <c r="E31" s="128">
        <f t="shared" si="21"/>
        <v>414</v>
      </c>
      <c r="F31" s="128">
        <f t="shared" si="21"/>
        <v>408</v>
      </c>
      <c r="G31" s="129">
        <f>G28-G30</f>
        <v>1381</v>
      </c>
      <c r="H31" s="1"/>
      <c r="I31" s="127">
        <f>I28-I30</f>
        <v>228</v>
      </c>
      <c r="J31" s="128">
        <f t="shared" ref="J31" si="22">J28-J30</f>
        <v>288</v>
      </c>
      <c r="K31" s="128">
        <f t="shared" ref="K31" si="23">K28-K30</f>
        <v>501</v>
      </c>
      <c r="L31" s="128">
        <f t="shared" ref="L31" si="24">L28-L30</f>
        <v>505</v>
      </c>
      <c r="M31" s="129">
        <f>M28-M30</f>
        <v>1522</v>
      </c>
      <c r="N31" s="1"/>
      <c r="O31" s="127">
        <f>O28-O30</f>
        <v>231</v>
      </c>
      <c r="P31" s="128">
        <f t="shared" ref="P31" si="25">P28-P30</f>
        <v>396</v>
      </c>
      <c r="Q31" s="128">
        <f t="shared" ref="Q31" si="26">Q28-Q30</f>
        <v>433</v>
      </c>
      <c r="R31" s="128">
        <f t="shared" ref="R31" si="27">R28-R30</f>
        <v>411</v>
      </c>
      <c r="S31" s="129">
        <f>S28-S30</f>
        <v>1471</v>
      </c>
      <c r="T31" s="1"/>
      <c r="U31" s="127">
        <f>U28-U30</f>
        <v>0</v>
      </c>
      <c r="V31" s="128">
        <f t="shared" ref="V31" si="28">V28-V30</f>
        <v>0</v>
      </c>
      <c r="W31" s="128">
        <f t="shared" ref="W31" si="29">W28-W30</f>
        <v>0</v>
      </c>
      <c r="X31" s="128">
        <f t="shared" ref="X31" si="30">X28-X30</f>
        <v>0</v>
      </c>
      <c r="Y31" s="129">
        <f>Y28-Y30</f>
        <v>0</v>
      </c>
      <c r="Z31" s="1"/>
      <c r="AA31" s="231">
        <f>M31/G31-1</f>
        <v>0.10209992758870379</v>
      </c>
      <c r="AB31" s="232">
        <f>M31/S31-1</f>
        <v>3.4670292318150997E-2</v>
      </c>
      <c r="AC31" s="230"/>
      <c r="AD31" s="230"/>
      <c r="AE31" s="230"/>
      <c r="AF31" s="230"/>
      <c r="AG31" s="230"/>
      <c r="AH31" s="230"/>
    </row>
    <row r="32" spans="1:34" ht="12" thickBot="1">
      <c r="A32" s="65" t="s">
        <v>85</v>
      </c>
      <c r="B32" s="57"/>
      <c r="C32" s="66">
        <f t="shared" ref="C32" si="31">C31/C27</f>
        <v>9.947140797693417E-2</v>
      </c>
      <c r="D32" s="67">
        <f>D31/D27</f>
        <v>0.15185504745470232</v>
      </c>
      <c r="E32" s="67">
        <f>E31/E27</f>
        <v>0.17409587888982339</v>
      </c>
      <c r="F32" s="67">
        <f>F31/F27</f>
        <v>0.15881666017905799</v>
      </c>
      <c r="G32" s="68">
        <f>G31/G27</f>
        <v>0.14776374919751764</v>
      </c>
      <c r="H32" s="61"/>
      <c r="I32" s="66">
        <f t="shared" ref="I32" si="32">I31/I27</f>
        <v>9.9044309296264121E-2</v>
      </c>
      <c r="J32" s="67">
        <f>J31/J27</f>
        <v>0.12419146183699871</v>
      </c>
      <c r="K32" s="67">
        <f>K31/K27</f>
        <v>0.1943366951124903</v>
      </c>
      <c r="L32" s="67">
        <f>L31/L27</f>
        <v>0.18417213712618527</v>
      </c>
      <c r="M32" s="68">
        <f>M31/M27</f>
        <v>0.1531033095262046</v>
      </c>
      <c r="N32" s="60"/>
      <c r="O32" s="66">
        <f t="shared" ref="O32" si="33">O31/O27</f>
        <v>0.10294117647058823</v>
      </c>
      <c r="P32" s="67">
        <f>P31/P27</f>
        <v>0.15248363496341932</v>
      </c>
      <c r="Q32" s="67">
        <f>Q31/Q27</f>
        <v>0.1726475279106858</v>
      </c>
      <c r="R32" s="67">
        <f>R31/R27</f>
        <v>0.15521148036253776</v>
      </c>
      <c r="S32" s="68">
        <f>S31/S27</f>
        <v>0.1471441432429729</v>
      </c>
      <c r="T32" s="61"/>
      <c r="U32" s="66" t="e">
        <f t="shared" ref="U32" si="34">U31/U27</f>
        <v>#DIV/0!</v>
      </c>
      <c r="V32" s="67" t="e">
        <f>V31/V27</f>
        <v>#DIV/0!</v>
      </c>
      <c r="W32" s="67" t="e">
        <f>W31/W27</f>
        <v>#DIV/0!</v>
      </c>
      <c r="X32" s="67" t="e">
        <f>X31/X27</f>
        <v>#DIV/0!</v>
      </c>
      <c r="Y32" s="68" t="e">
        <f>Y31/Y27</f>
        <v>#DIV/0!</v>
      </c>
      <c r="Z32" s="1"/>
      <c r="AA32" s="230"/>
      <c r="AB32" s="230"/>
      <c r="AC32" s="230"/>
      <c r="AD32" s="230"/>
      <c r="AE32" s="230"/>
      <c r="AF32" s="230"/>
      <c r="AG32" s="230"/>
      <c r="AH32" s="230"/>
    </row>
    <row r="33" spans="1:37" ht="12" thickBot="1">
      <c r="A33" s="1"/>
      <c r="B33" s="130"/>
      <c r="C33" s="130"/>
      <c r="D33" s="130"/>
      <c r="E33" s="130"/>
      <c r="F33" s="130"/>
      <c r="G33" s="13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6.5" thickBot="1">
      <c r="A34" s="179" t="s">
        <v>91</v>
      </c>
      <c r="B34" s="1"/>
      <c r="C34" s="33" t="s">
        <v>78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1"/>
      <c r="O34" s="33" t="s">
        <v>79</v>
      </c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6.5" thickBot="1">
      <c r="A35" s="27" t="s">
        <v>80</v>
      </c>
      <c r="B35" s="1"/>
      <c r="C35" s="33">
        <v>2019</v>
      </c>
      <c r="D35" s="32"/>
      <c r="E35" s="32"/>
      <c r="F35" s="32"/>
      <c r="G35" s="32"/>
      <c r="H35" s="1"/>
      <c r="I35" s="30">
        <v>2020</v>
      </c>
      <c r="J35" s="31"/>
      <c r="K35" s="31"/>
      <c r="L35" s="31"/>
      <c r="M35" s="32"/>
      <c r="N35" s="1"/>
      <c r="O35" s="33">
        <v>2019</v>
      </c>
      <c r="P35" s="32"/>
      <c r="Q35" s="32"/>
      <c r="R35" s="32"/>
      <c r="S35" s="32"/>
      <c r="T35" s="1"/>
      <c r="U35" s="30">
        <v>2020</v>
      </c>
      <c r="V35" s="31"/>
      <c r="W35" s="31"/>
      <c r="X35" s="31"/>
      <c r="Y35" s="32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2" thickBot="1">
      <c r="A36" s="35" t="s">
        <v>81</v>
      </c>
      <c r="B36" s="1"/>
      <c r="C36" s="40" t="s">
        <v>42</v>
      </c>
      <c r="D36" s="41" t="s">
        <v>43</v>
      </c>
      <c r="E36" s="41" t="s">
        <v>44</v>
      </c>
      <c r="F36" s="41" t="s">
        <v>45</v>
      </c>
      <c r="G36" s="42" t="s">
        <v>82</v>
      </c>
      <c r="H36" s="1"/>
      <c r="I36" s="40" t="s">
        <v>46</v>
      </c>
      <c r="J36" s="41" t="s">
        <v>47</v>
      </c>
      <c r="K36" s="41" t="s">
        <v>48</v>
      </c>
      <c r="L36" s="41" t="s">
        <v>49</v>
      </c>
      <c r="M36" s="42" t="s">
        <v>82</v>
      </c>
      <c r="N36" s="1"/>
      <c r="O36" s="40" t="s">
        <v>42</v>
      </c>
      <c r="P36" s="41" t="s">
        <v>43</v>
      </c>
      <c r="Q36" s="41" t="s">
        <v>44</v>
      </c>
      <c r="R36" s="41" t="s">
        <v>45</v>
      </c>
      <c r="S36" s="42" t="s">
        <v>82</v>
      </c>
      <c r="T36" s="1"/>
      <c r="U36" s="40" t="s">
        <v>46</v>
      </c>
      <c r="V36" s="41" t="s">
        <v>47</v>
      </c>
      <c r="W36" s="41" t="s">
        <v>48</v>
      </c>
      <c r="X36" s="41" t="s">
        <v>49</v>
      </c>
      <c r="Y36" s="42" t="s">
        <v>82</v>
      </c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>
      <c r="A37" s="52"/>
      <c r="B37" s="1"/>
      <c r="C37" s="117"/>
      <c r="D37" s="119"/>
      <c r="E37" s="119"/>
      <c r="F37" s="119"/>
      <c r="G37" s="118"/>
      <c r="H37" s="1"/>
      <c r="I37" s="120"/>
      <c r="J37" s="1"/>
      <c r="K37" s="1"/>
      <c r="L37" s="1"/>
      <c r="M37" s="107"/>
      <c r="N37" s="1"/>
      <c r="O37" s="117"/>
      <c r="P37" s="119"/>
      <c r="Q37" s="119"/>
      <c r="R37" s="119"/>
      <c r="S37" s="118"/>
      <c r="T37" s="1"/>
      <c r="U37" s="117"/>
      <c r="V37" s="119"/>
      <c r="W37" s="119"/>
      <c r="X37" s="119"/>
      <c r="Y37" s="118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>
      <c r="A38" s="53" t="s">
        <v>83</v>
      </c>
      <c r="B38" s="123"/>
      <c r="C38" s="121"/>
      <c r="D38" s="116"/>
      <c r="E38" s="116"/>
      <c r="F38" s="116"/>
      <c r="G38" s="122"/>
      <c r="H38" s="123"/>
      <c r="I38" s="121"/>
      <c r="J38" s="116"/>
      <c r="K38" s="116"/>
      <c r="L38" s="116"/>
      <c r="M38" s="122"/>
      <c r="N38" s="1"/>
      <c r="O38" s="121"/>
      <c r="P38" s="116"/>
      <c r="Q38" s="116"/>
      <c r="R38" s="116"/>
      <c r="S38" s="122"/>
      <c r="T38" s="123"/>
      <c r="U38" s="121"/>
      <c r="V38" s="116"/>
      <c r="W38" s="116"/>
      <c r="X38" s="116"/>
      <c r="Y38" s="122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>
      <c r="A39" s="77" t="s">
        <v>84</v>
      </c>
      <c r="B39" s="126"/>
      <c r="C39" s="127">
        <v>1042</v>
      </c>
      <c r="D39" s="128">
        <v>1088</v>
      </c>
      <c r="E39" s="128">
        <v>1238</v>
      </c>
      <c r="F39" s="128">
        <v>1265</v>
      </c>
      <c r="G39" s="129">
        <f>SUM(C39:F39)</f>
        <v>4633</v>
      </c>
      <c r="H39" s="1"/>
      <c r="I39" s="127">
        <v>1168</v>
      </c>
      <c r="J39" s="128">
        <v>1055</v>
      </c>
      <c r="K39" s="128">
        <v>1287</v>
      </c>
      <c r="L39" s="128">
        <v>1426</v>
      </c>
      <c r="M39" s="129">
        <f>SUM(I39:L39)</f>
        <v>4936</v>
      </c>
      <c r="N39" s="1"/>
      <c r="O39" s="127">
        <v>1116</v>
      </c>
      <c r="P39" s="128">
        <v>1219</v>
      </c>
      <c r="Q39" s="128">
        <v>1302</v>
      </c>
      <c r="R39" s="128">
        <v>1302</v>
      </c>
      <c r="S39" s="129">
        <f>SUM(O39:R39)</f>
        <v>4939</v>
      </c>
      <c r="T39" s="1"/>
      <c r="U39" s="127"/>
      <c r="V39" s="128"/>
      <c r="W39" s="128"/>
      <c r="X39" s="128"/>
      <c r="Y39" s="129">
        <f>SUM(U39:X39)</f>
        <v>0</v>
      </c>
      <c r="Z39" s="165">
        <f>M39/S39-1</f>
        <v>-6.0741040696499216E-4</v>
      </c>
      <c r="AA39" s="165">
        <f>M39/G39-1</f>
        <v>6.5400388517159458E-2</v>
      </c>
      <c r="AB39" s="186">
        <f>M39/S39-1</f>
        <v>-6.0741040696499216E-4</v>
      </c>
      <c r="AC39" s="1"/>
      <c r="AD39" s="91">
        <f>L39/R39-1</f>
        <v>9.5238095238095344E-2</v>
      </c>
      <c r="AE39" s="91">
        <f>M39/S39-1</f>
        <v>-6.0741040696499216E-4</v>
      </c>
      <c r="AF39" s="1"/>
      <c r="AG39" s="91">
        <f t="shared" ref="AG39:AK40" si="35">O39/C39-1</f>
        <v>7.1017274472168879E-2</v>
      </c>
      <c r="AH39" s="91">
        <f t="shared" si="35"/>
        <v>0.12040441176470584</v>
      </c>
      <c r="AI39" s="91">
        <f t="shared" si="35"/>
        <v>5.1696284329563857E-2</v>
      </c>
      <c r="AJ39" s="91">
        <f t="shared" si="35"/>
        <v>2.9249011857707563E-2</v>
      </c>
      <c r="AK39" s="91">
        <f t="shared" si="35"/>
        <v>6.6047917116339283E-2</v>
      </c>
    </row>
    <row r="40" spans="1:37">
      <c r="A40" s="52" t="s">
        <v>15</v>
      </c>
      <c r="B40" s="123"/>
      <c r="C40" s="124">
        <v>417</v>
      </c>
      <c r="D40" s="123">
        <v>471</v>
      </c>
      <c r="E40" s="123">
        <v>534</v>
      </c>
      <c r="F40" s="123">
        <f t="shared" ref="F40" si="36">G40-E40-D40-C40</f>
        <v>506</v>
      </c>
      <c r="G40" s="125">
        <f>1943-15</f>
        <v>1928</v>
      </c>
      <c r="H40" s="1"/>
      <c r="I40" s="124">
        <v>462</v>
      </c>
      <c r="J40" s="123">
        <v>408</v>
      </c>
      <c r="K40" s="123">
        <v>574</v>
      </c>
      <c r="L40" s="123">
        <f>M40-K40-J40-I40</f>
        <v>598</v>
      </c>
      <c r="M40" s="125">
        <v>2042</v>
      </c>
      <c r="N40" s="1"/>
      <c r="O40" s="124">
        <v>445</v>
      </c>
      <c r="P40" s="123">
        <v>524</v>
      </c>
      <c r="Q40" s="123">
        <v>558</v>
      </c>
      <c r="R40" s="123">
        <v>521</v>
      </c>
      <c r="S40" s="125">
        <f>SUM(O40:R40)</f>
        <v>2048</v>
      </c>
      <c r="T40" s="1"/>
      <c r="U40" s="124"/>
      <c r="V40" s="123"/>
      <c r="W40" s="123"/>
      <c r="X40" s="123"/>
      <c r="Y40" s="125">
        <f>SUM(U40:X40)</f>
        <v>0</v>
      </c>
      <c r="Z40" s="1"/>
      <c r="AA40" s="1"/>
      <c r="AB40" s="1"/>
      <c r="AC40" s="1"/>
      <c r="AD40" s="1"/>
      <c r="AE40" s="1"/>
      <c r="AF40" s="1"/>
      <c r="AG40" s="91">
        <f t="shared" si="35"/>
        <v>6.714628297362113E-2</v>
      </c>
      <c r="AH40" s="91">
        <f t="shared" si="35"/>
        <v>0.11252653927813161</v>
      </c>
      <c r="AI40" s="91">
        <f t="shared" si="35"/>
        <v>4.4943820224719211E-2</v>
      </c>
      <c r="AJ40" s="91">
        <f t="shared" si="35"/>
        <v>2.9644268774703608E-2</v>
      </c>
      <c r="AK40" s="91">
        <f t="shared" si="35"/>
        <v>6.2240663900414939E-2</v>
      </c>
    </row>
    <row r="41" spans="1:37">
      <c r="A41" s="54" t="s">
        <v>85</v>
      </c>
      <c r="B41" s="64"/>
      <c r="C41" s="58">
        <f>C40/C39</f>
        <v>0.40019193857965452</v>
      </c>
      <c r="D41" s="72">
        <f>D40/D39</f>
        <v>0.4329044117647059</v>
      </c>
      <c r="E41" s="72">
        <f>E40/E39</f>
        <v>0.43134087237479807</v>
      </c>
      <c r="F41" s="72">
        <f>F40/F39</f>
        <v>0.4</v>
      </c>
      <c r="G41" s="59">
        <f>G40/G39</f>
        <v>0.4161450464062163</v>
      </c>
      <c r="H41" s="61"/>
      <c r="I41" s="58">
        <f>I40/I39</f>
        <v>0.39554794520547948</v>
      </c>
      <c r="J41" s="72">
        <f>J40/J39</f>
        <v>0.38672985781990521</v>
      </c>
      <c r="K41" s="72">
        <f>K40/K39</f>
        <v>0.44599844599844601</v>
      </c>
      <c r="L41" s="72">
        <f>L40/L39</f>
        <v>0.41935483870967744</v>
      </c>
      <c r="M41" s="59">
        <f>M40/M39</f>
        <v>0.41369529983792547</v>
      </c>
      <c r="N41" s="60"/>
      <c r="O41" s="58">
        <f>O40/O39</f>
        <v>0.39874551971326166</v>
      </c>
      <c r="P41" s="72">
        <f>P40/P39</f>
        <v>0.42986054142739949</v>
      </c>
      <c r="Q41" s="72">
        <f>Q40/Q39</f>
        <v>0.42857142857142855</v>
      </c>
      <c r="R41" s="72">
        <f>R40/R39</f>
        <v>0.40015360983102921</v>
      </c>
      <c r="S41" s="59">
        <f>S40/S39</f>
        <v>0.41465883782142132</v>
      </c>
      <c r="T41" s="61"/>
      <c r="U41" s="58" t="e">
        <f>U40/U39</f>
        <v>#DIV/0!</v>
      </c>
      <c r="V41" s="72" t="e">
        <f>V40/V39</f>
        <v>#DIV/0!</v>
      </c>
      <c r="W41" s="72" t="e">
        <f>W40/W39</f>
        <v>#DIV/0!</v>
      </c>
      <c r="X41" s="72" t="e">
        <f>X40/X39</f>
        <v>#DIV/0!</v>
      </c>
      <c r="Y41" s="59" t="e">
        <f>Y40/Y39</f>
        <v>#DIV/0!</v>
      </c>
      <c r="Z41" s="1"/>
      <c r="AA41" s="1"/>
      <c r="AB41" s="1"/>
      <c r="AC41" s="1"/>
      <c r="AD41" s="1"/>
      <c r="AE41" s="1"/>
      <c r="AF41" s="1"/>
      <c r="AG41" s="91"/>
      <c r="AH41" s="91"/>
      <c r="AI41" s="91"/>
      <c r="AJ41" s="91"/>
      <c r="AK41" s="91"/>
    </row>
    <row r="42" spans="1:37">
      <c r="A42" s="52" t="s">
        <v>21</v>
      </c>
      <c r="B42" s="123"/>
      <c r="C42" s="124">
        <f>19+259</f>
        <v>278</v>
      </c>
      <c r="D42" s="123">
        <v>288</v>
      </c>
      <c r="E42" s="123">
        <v>264</v>
      </c>
      <c r="F42" s="123">
        <f t="shared" ref="F42" si="37">G42-E42-D42-C42</f>
        <v>290</v>
      </c>
      <c r="G42" s="125">
        <f>1163-28-15</f>
        <v>1120</v>
      </c>
      <c r="H42" s="1"/>
      <c r="I42" s="124">
        <v>311</v>
      </c>
      <c r="J42" s="123">
        <v>290</v>
      </c>
      <c r="K42" s="123">
        <v>258</v>
      </c>
      <c r="L42" s="123">
        <f>M42-K42-J42-I42</f>
        <v>302</v>
      </c>
      <c r="M42" s="125">
        <v>1161</v>
      </c>
      <c r="N42" s="1"/>
      <c r="O42" s="124">
        <v>297</v>
      </c>
      <c r="P42" s="123">
        <v>320</v>
      </c>
      <c r="Q42" s="123">
        <v>275</v>
      </c>
      <c r="R42" s="123">
        <f>268+31</f>
        <v>299</v>
      </c>
      <c r="S42" s="125">
        <f>SUM(O42:R42)</f>
        <v>1191</v>
      </c>
      <c r="T42" s="1"/>
      <c r="U42" s="124"/>
      <c r="V42" s="123"/>
      <c r="W42" s="123"/>
      <c r="X42" s="123"/>
      <c r="Y42" s="125">
        <f>SUM(U42:X42)</f>
        <v>0</v>
      </c>
      <c r="Z42" s="1"/>
      <c r="AA42" s="1"/>
      <c r="AB42" s="1"/>
      <c r="AC42" s="1"/>
      <c r="AD42" s="91">
        <f>L42/R42-1</f>
        <v>1.0033444816053505E-2</v>
      </c>
      <c r="AE42" s="1"/>
      <c r="AF42" s="1"/>
      <c r="AG42" s="91">
        <f t="shared" ref="AG42:AK43" si="38">O42/C42-1</f>
        <v>6.8345323741007213E-2</v>
      </c>
      <c r="AH42" s="91">
        <f t="shared" si="38"/>
        <v>0.11111111111111116</v>
      </c>
      <c r="AI42" s="91">
        <f t="shared" si="38"/>
        <v>4.1666666666666741E-2</v>
      </c>
      <c r="AJ42" s="91">
        <f t="shared" si="38"/>
        <v>3.1034482758620641E-2</v>
      </c>
      <c r="AK42" s="91">
        <f t="shared" si="38"/>
        <v>6.3392857142857251E-2</v>
      </c>
    </row>
    <row r="43" spans="1:37">
      <c r="A43" s="77" t="s">
        <v>86</v>
      </c>
      <c r="B43" s="123"/>
      <c r="C43" s="127">
        <f>C40-C42</f>
        <v>139</v>
      </c>
      <c r="D43" s="128">
        <f>D40-D42</f>
        <v>183</v>
      </c>
      <c r="E43" s="128">
        <f>E40-E42</f>
        <v>270</v>
      </c>
      <c r="F43" s="128">
        <f>F40-F42</f>
        <v>216</v>
      </c>
      <c r="G43" s="129">
        <f>G40-G42</f>
        <v>808</v>
      </c>
      <c r="H43" s="1"/>
      <c r="I43" s="127">
        <f>I40-I42</f>
        <v>151</v>
      </c>
      <c r="J43" s="128">
        <f>J40-J42</f>
        <v>118</v>
      </c>
      <c r="K43" s="128">
        <f>K40-K42</f>
        <v>316</v>
      </c>
      <c r="L43" s="128">
        <f>L40-L42</f>
        <v>296</v>
      </c>
      <c r="M43" s="129">
        <f>M40-M42</f>
        <v>881</v>
      </c>
      <c r="N43" s="1"/>
      <c r="O43" s="127">
        <f>O40-O42</f>
        <v>148</v>
      </c>
      <c r="P43" s="128">
        <f>P40-P42</f>
        <v>204</v>
      </c>
      <c r="Q43" s="128">
        <f>Q40-Q42</f>
        <v>283</v>
      </c>
      <c r="R43" s="128">
        <f>R40-R42</f>
        <v>222</v>
      </c>
      <c r="S43" s="129">
        <f>S40-S42</f>
        <v>857</v>
      </c>
      <c r="T43" s="1"/>
      <c r="U43" s="127">
        <f>U40-U42</f>
        <v>0</v>
      </c>
      <c r="V43" s="128">
        <f>V40-V42</f>
        <v>0</v>
      </c>
      <c r="W43" s="128">
        <f>W40-W42</f>
        <v>0</v>
      </c>
      <c r="X43" s="128">
        <f>X40-X42</f>
        <v>0</v>
      </c>
      <c r="Y43" s="129">
        <f>Y40-Y42</f>
        <v>0</v>
      </c>
      <c r="Z43" s="1"/>
      <c r="AA43" s="1"/>
      <c r="AB43" s="1"/>
      <c r="AC43" s="1"/>
      <c r="AD43" s="1"/>
      <c r="AE43" s="1"/>
      <c r="AF43" s="1"/>
      <c r="AG43" s="91">
        <f t="shared" si="38"/>
        <v>6.4748201438848962E-2</v>
      </c>
      <c r="AH43" s="91">
        <f t="shared" si="38"/>
        <v>0.11475409836065564</v>
      </c>
      <c r="AI43" s="91">
        <f t="shared" si="38"/>
        <v>4.8148148148148051E-2</v>
      </c>
      <c r="AJ43" s="91">
        <f t="shared" si="38"/>
        <v>2.7777777777777679E-2</v>
      </c>
      <c r="AK43" s="91">
        <f t="shared" si="38"/>
        <v>6.0643564356435586E-2</v>
      </c>
    </row>
    <row r="44" spans="1:37">
      <c r="A44" s="54" t="s">
        <v>85</v>
      </c>
      <c r="B44" s="57"/>
      <c r="C44" s="58">
        <f t="shared" ref="C44" si="39">C43/C39</f>
        <v>0.13339731285988485</v>
      </c>
      <c r="D44" s="72">
        <f>D43/D39</f>
        <v>0.16819852941176472</v>
      </c>
      <c r="E44" s="72">
        <f>E43/E39</f>
        <v>0.21809369951534732</v>
      </c>
      <c r="F44" s="72">
        <f>F43/F39</f>
        <v>0.1707509881422925</v>
      </c>
      <c r="G44" s="59">
        <f>G43/G39</f>
        <v>0.17440103604575868</v>
      </c>
      <c r="H44" s="61"/>
      <c r="I44" s="58">
        <f t="shared" ref="I44:M44" si="40">I43/I39</f>
        <v>0.12928082191780821</v>
      </c>
      <c r="J44" s="72">
        <f t="shared" si="40"/>
        <v>0.11184834123222749</v>
      </c>
      <c r="K44" s="72">
        <f t="shared" si="40"/>
        <v>0.24553224553224554</v>
      </c>
      <c r="L44" s="72">
        <f t="shared" si="40"/>
        <v>0.20757363253856942</v>
      </c>
      <c r="M44" s="59">
        <f t="shared" si="40"/>
        <v>0.17848460291734197</v>
      </c>
      <c r="N44" s="60"/>
      <c r="O44" s="58">
        <f t="shared" ref="O44" si="41">O43/O39</f>
        <v>0.13261648745519714</v>
      </c>
      <c r="P44" s="72">
        <f>P43/P39</f>
        <v>0.16735028712059064</v>
      </c>
      <c r="Q44" s="72">
        <f>Q43/Q39</f>
        <v>0.217357910906298</v>
      </c>
      <c r="R44" s="72">
        <f>R43/R39</f>
        <v>0.17050691244239632</v>
      </c>
      <c r="S44" s="59">
        <f>S43/S39</f>
        <v>0.17351690625632718</v>
      </c>
      <c r="T44" s="61"/>
      <c r="U44" s="58" t="e">
        <f t="shared" ref="U44" si="42">U43/U39</f>
        <v>#DIV/0!</v>
      </c>
      <c r="V44" s="72" t="e">
        <f>V43/V39</f>
        <v>#DIV/0!</v>
      </c>
      <c r="W44" s="72" t="e">
        <f>W43/W39</f>
        <v>#DIV/0!</v>
      </c>
      <c r="X44" s="72" t="e">
        <f>X43/X39</f>
        <v>#DIV/0!</v>
      </c>
      <c r="Y44" s="59" t="e">
        <f>Y43/Y39</f>
        <v>#DIV/0!</v>
      </c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>
      <c r="A45" s="52"/>
      <c r="B45" s="1"/>
      <c r="C45" s="135"/>
      <c r="D45" s="134"/>
      <c r="E45" s="134"/>
      <c r="F45" s="134"/>
      <c r="G45" s="125"/>
      <c r="H45" s="1"/>
      <c r="I45" s="135"/>
      <c r="J45" s="134"/>
      <c r="K45" s="134"/>
      <c r="L45" s="134"/>
      <c r="M45" s="136"/>
      <c r="N45" s="1"/>
      <c r="O45" s="135"/>
      <c r="P45" s="134"/>
      <c r="Q45" s="134"/>
      <c r="R45" s="134"/>
      <c r="S45" s="125"/>
      <c r="T45" s="1"/>
      <c r="U45" s="135"/>
      <c r="V45" s="134"/>
      <c r="W45" s="134"/>
      <c r="X45" s="134"/>
      <c r="Y45" s="125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>
      <c r="A46" s="53" t="s">
        <v>92</v>
      </c>
      <c r="B46" s="1"/>
      <c r="C46" s="135"/>
      <c r="D46" s="134"/>
      <c r="E46" s="134"/>
      <c r="F46" s="134"/>
      <c r="G46" s="125"/>
      <c r="H46" s="1"/>
      <c r="I46" s="135"/>
      <c r="J46" s="134"/>
      <c r="K46" s="134"/>
      <c r="L46" s="134"/>
      <c r="M46" s="136"/>
      <c r="N46" s="1"/>
      <c r="O46" s="135"/>
      <c r="P46" s="134"/>
      <c r="Q46" s="134"/>
      <c r="R46" s="134"/>
      <c r="S46" s="125"/>
      <c r="T46" s="1"/>
      <c r="U46" s="135"/>
      <c r="V46" s="134"/>
      <c r="W46" s="134"/>
      <c r="X46" s="134"/>
      <c r="Y46" s="125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>
      <c r="A47" s="77" t="s">
        <v>84</v>
      </c>
      <c r="B47" s="126"/>
      <c r="C47" s="127">
        <v>432</v>
      </c>
      <c r="D47" s="128">
        <v>426</v>
      </c>
      <c r="E47" s="128">
        <v>421</v>
      </c>
      <c r="F47" s="128">
        <v>413</v>
      </c>
      <c r="G47" s="129">
        <f>SUM(C47:F47)</f>
        <v>1692</v>
      </c>
      <c r="H47" s="1"/>
      <c r="I47" s="127">
        <v>485</v>
      </c>
      <c r="J47" s="128">
        <v>354</v>
      </c>
      <c r="K47" s="128">
        <v>417</v>
      </c>
      <c r="L47" s="128">
        <v>438</v>
      </c>
      <c r="M47" s="129">
        <f>SUM(I47:L47)</f>
        <v>1694</v>
      </c>
      <c r="N47" s="137"/>
      <c r="O47" s="127">
        <f>C47*O14/C14</f>
        <v>469.00481231953802</v>
      </c>
      <c r="P47" s="128">
        <f t="shared" ref="P47:R47" si="43">D47*P14/D14</f>
        <v>477.25853658536585</v>
      </c>
      <c r="Q47" s="128">
        <f t="shared" si="43"/>
        <v>445.37368421052633</v>
      </c>
      <c r="R47" s="128">
        <f t="shared" si="43"/>
        <v>426.30214723926383</v>
      </c>
      <c r="S47" s="129">
        <f>SUM(O47:R47)</f>
        <v>1817.9391803546941</v>
      </c>
      <c r="T47" s="1"/>
      <c r="U47" s="127"/>
      <c r="V47" s="128"/>
      <c r="W47" s="128"/>
      <c r="X47" s="128"/>
      <c r="Y47" s="129">
        <f>SUM(U47:X47)</f>
        <v>0</v>
      </c>
      <c r="Z47" s="165">
        <f>M47/S47-1</f>
        <v>-6.8175647290088515E-2</v>
      </c>
      <c r="AA47" s="165">
        <f>M47/G47-1</f>
        <v>1.1820330969267712E-3</v>
      </c>
      <c r="AB47" s="186">
        <f>M47/S47-1</f>
        <v>-6.8175647290088515E-2</v>
      </c>
      <c r="AC47" s="1"/>
      <c r="AD47" s="91">
        <f>L47/R47-1</f>
        <v>2.744028580782798E-2</v>
      </c>
      <c r="AE47" s="91">
        <f>M47/S47-1</f>
        <v>-6.8175647290088515E-2</v>
      </c>
      <c r="AF47" s="1"/>
      <c r="AG47" s="91">
        <f t="shared" ref="AG47:AK48" si="44">O47/C47-1</f>
        <v>8.5659287776708393E-2</v>
      </c>
      <c r="AH47" s="91">
        <f t="shared" si="44"/>
        <v>0.12032520325203255</v>
      </c>
      <c r="AI47" s="91">
        <f t="shared" si="44"/>
        <v>5.7894736842105221E-2</v>
      </c>
      <c r="AJ47" s="91">
        <f t="shared" si="44"/>
        <v>3.2208588957055362E-2</v>
      </c>
      <c r="AK47" s="91">
        <f t="shared" si="44"/>
        <v>7.4432139689535548E-2</v>
      </c>
    </row>
    <row r="48" spans="1:37">
      <c r="A48" s="52" t="s">
        <v>15</v>
      </c>
      <c r="B48" s="1"/>
      <c r="C48" s="124">
        <v>227</v>
      </c>
      <c r="D48" s="123">
        <v>228</v>
      </c>
      <c r="E48" s="123">
        <v>227</v>
      </c>
      <c r="F48" s="123">
        <v>206</v>
      </c>
      <c r="G48" s="125">
        <f>SUM(C48:F48)</f>
        <v>888</v>
      </c>
      <c r="H48" s="1"/>
      <c r="I48" s="124">
        <v>249</v>
      </c>
      <c r="J48" s="123">
        <v>193</v>
      </c>
      <c r="K48" s="123">
        <v>231</v>
      </c>
      <c r="L48" s="123">
        <v>237</v>
      </c>
      <c r="M48" s="125">
        <f>SUM(I48:L48)</f>
        <v>910</v>
      </c>
      <c r="N48" s="1"/>
      <c r="O48" s="124">
        <f>C48*O15/C15</f>
        <v>247.8621444201313</v>
      </c>
      <c r="P48" s="123">
        <f t="shared" ref="P48" si="45">D48*P15/D15</f>
        <v>255.6</v>
      </c>
      <c r="Q48" s="123">
        <f t="shared" ref="Q48" si="46">E48*Q15/E15</f>
        <v>239.03787878787878</v>
      </c>
      <c r="R48" s="123">
        <f t="shared" ref="R48" si="47">F48*R15/F15</f>
        <v>210.7906976744186</v>
      </c>
      <c r="S48" s="125">
        <f>SUM(O48:R48)</f>
        <v>953.29072088242856</v>
      </c>
      <c r="T48" s="1"/>
      <c r="U48" s="124"/>
      <c r="V48" s="123"/>
      <c r="W48" s="123"/>
      <c r="X48" s="123"/>
      <c r="Y48" s="125">
        <f>SUM(U48:X48)</f>
        <v>0</v>
      </c>
      <c r="Z48" s="1"/>
      <c r="AA48" s="1"/>
      <c r="AB48" s="1"/>
      <c r="AC48" s="1"/>
      <c r="AD48" s="1"/>
      <c r="AE48" s="1"/>
      <c r="AF48" s="1"/>
      <c r="AG48" s="91">
        <f t="shared" si="44"/>
        <v>9.1903719912472592E-2</v>
      </c>
      <c r="AH48" s="91">
        <f t="shared" si="44"/>
        <v>0.1210526315789473</v>
      </c>
      <c r="AI48" s="91">
        <f t="shared" si="44"/>
        <v>5.3030303030302983E-2</v>
      </c>
      <c r="AJ48" s="91">
        <f t="shared" si="44"/>
        <v>2.3255813953488413E-2</v>
      </c>
      <c r="AK48" s="91">
        <f t="shared" si="44"/>
        <v>7.3525586579311408E-2</v>
      </c>
    </row>
    <row r="49" spans="1:37">
      <c r="A49" s="54" t="s">
        <v>85</v>
      </c>
      <c r="B49" s="60"/>
      <c r="C49" s="58">
        <f>C48/C47</f>
        <v>0.52546296296296291</v>
      </c>
      <c r="D49" s="72">
        <f>D48/D47</f>
        <v>0.53521126760563376</v>
      </c>
      <c r="E49" s="72">
        <f>E48/E47</f>
        <v>0.53919239904988125</v>
      </c>
      <c r="F49" s="72">
        <f>F48/F47</f>
        <v>0.49878934624697335</v>
      </c>
      <c r="G49" s="59">
        <f>G48/G47</f>
        <v>0.52482269503546097</v>
      </c>
      <c r="H49" s="61"/>
      <c r="I49" s="58">
        <f>I48/I47</f>
        <v>0.51340206185567006</v>
      </c>
      <c r="J49" s="72">
        <f>J48/J47</f>
        <v>0.54519774011299438</v>
      </c>
      <c r="K49" s="72">
        <f>K48/K47</f>
        <v>0.5539568345323741</v>
      </c>
      <c r="L49" s="72">
        <f>L48/L47</f>
        <v>0.54109589041095896</v>
      </c>
      <c r="M49" s="59">
        <f>M48/M47</f>
        <v>0.53719008264462809</v>
      </c>
      <c r="N49" s="60"/>
      <c r="O49" s="58">
        <f>O48/O47</f>
        <v>0.52848529036256486</v>
      </c>
      <c r="P49" s="72">
        <f>P48/P47</f>
        <v>0.53555878084179975</v>
      </c>
      <c r="Q49" s="72">
        <f>Q48/Q47</f>
        <v>0.53671307322883166</v>
      </c>
      <c r="R49" s="72">
        <f>R48/R47</f>
        <v>0.49446313850282214</v>
      </c>
      <c r="S49" s="59">
        <f>S48/S47</f>
        <v>0.52437987540179098</v>
      </c>
      <c r="T49" s="61"/>
      <c r="U49" s="58" t="e">
        <f>U48/U47</f>
        <v>#DIV/0!</v>
      </c>
      <c r="V49" s="72" t="e">
        <f>V48/V47</f>
        <v>#DIV/0!</v>
      </c>
      <c r="W49" s="72" t="e">
        <f>W48/W47</f>
        <v>#DIV/0!</v>
      </c>
      <c r="X49" s="72" t="e">
        <f>X48/X47</f>
        <v>#DIV/0!</v>
      </c>
      <c r="Y49" s="59" t="e">
        <f>Y48/Y47</f>
        <v>#DIV/0!</v>
      </c>
      <c r="Z49" s="1"/>
      <c r="AA49" s="1"/>
      <c r="AB49" s="1"/>
      <c r="AC49" s="1"/>
      <c r="AD49" s="1"/>
      <c r="AE49" s="1"/>
      <c r="AF49" s="1"/>
      <c r="AG49" s="91"/>
      <c r="AH49" s="91"/>
      <c r="AI49" s="91"/>
      <c r="AJ49" s="91"/>
      <c r="AK49" s="91"/>
    </row>
    <row r="50" spans="1:37">
      <c r="A50" s="52" t="s">
        <v>21</v>
      </c>
      <c r="B50" s="1"/>
      <c r="C50" s="138">
        <v>120</v>
      </c>
      <c r="D50" s="139">
        <v>120</v>
      </c>
      <c r="E50" s="123">
        <v>131</v>
      </c>
      <c r="F50" s="123">
        <v>132</v>
      </c>
      <c r="G50" s="125">
        <f>SUM(C50:F50)</f>
        <v>503</v>
      </c>
      <c r="H50" s="1"/>
      <c r="I50" s="138">
        <v>137</v>
      </c>
      <c r="J50" s="123">
        <v>129</v>
      </c>
      <c r="K50" s="123">
        <v>133</v>
      </c>
      <c r="L50" s="123">
        <v>135</v>
      </c>
      <c r="M50" s="125">
        <f>SUM(I50:L50)</f>
        <v>534</v>
      </c>
      <c r="N50" s="1"/>
      <c r="O50" s="138">
        <f>C50*O17/C17</f>
        <v>128.54794520547946</v>
      </c>
      <c r="P50" s="139">
        <f t="shared" ref="P50:R50" si="48">D50*P17/D17</f>
        <v>134.32360742705569</v>
      </c>
      <c r="Q50" s="123">
        <f t="shared" si="48"/>
        <v>139.00555555555556</v>
      </c>
      <c r="R50" s="123">
        <f t="shared" si="48"/>
        <v>137.81347150259069</v>
      </c>
      <c r="S50" s="125">
        <f>SUM(O50:R50)</f>
        <v>539.69057969068137</v>
      </c>
      <c r="T50" s="1"/>
      <c r="U50" s="138"/>
      <c r="V50" s="139"/>
      <c r="W50" s="123"/>
      <c r="X50" s="123"/>
      <c r="Y50" s="125">
        <f>SUM(U50:X50)</f>
        <v>0</v>
      </c>
      <c r="Z50" s="1"/>
      <c r="AA50" s="1"/>
      <c r="AB50" s="1"/>
      <c r="AC50" s="1"/>
      <c r="AD50" s="91">
        <f>L50/R50-1</f>
        <v>-2.0415068802165703E-2</v>
      </c>
      <c r="AE50" s="1"/>
      <c r="AF50" s="1"/>
      <c r="AG50" s="91">
        <f t="shared" ref="AG50:AK51" si="49">O50/C50-1</f>
        <v>7.1232876712328919E-2</v>
      </c>
      <c r="AH50" s="91">
        <f t="shared" si="49"/>
        <v>0.11936339522546402</v>
      </c>
      <c r="AI50" s="91">
        <f t="shared" si="49"/>
        <v>6.1111111111111116E-2</v>
      </c>
      <c r="AJ50" s="91">
        <f t="shared" si="49"/>
        <v>4.4041450777202229E-2</v>
      </c>
      <c r="AK50" s="91">
        <f t="shared" si="49"/>
        <v>7.2943498391016659E-2</v>
      </c>
    </row>
    <row r="51" spans="1:37">
      <c r="A51" s="77" t="s">
        <v>86</v>
      </c>
      <c r="B51" s="1"/>
      <c r="C51" s="127">
        <f>C48-C50</f>
        <v>107</v>
      </c>
      <c r="D51" s="128">
        <f>D48-D50</f>
        <v>108</v>
      </c>
      <c r="E51" s="128">
        <f>E48-E50</f>
        <v>96</v>
      </c>
      <c r="F51" s="128">
        <f>F48-F50</f>
        <v>74</v>
      </c>
      <c r="G51" s="129">
        <f>G48-G50</f>
        <v>385</v>
      </c>
      <c r="H51" s="1"/>
      <c r="I51" s="127">
        <f>I48-I50</f>
        <v>112</v>
      </c>
      <c r="J51" s="128">
        <f>J48-J50</f>
        <v>64</v>
      </c>
      <c r="K51" s="128">
        <f>K48-K50</f>
        <v>98</v>
      </c>
      <c r="L51" s="128">
        <f>L48-L50</f>
        <v>102</v>
      </c>
      <c r="M51" s="129">
        <f>M48-M50</f>
        <v>376</v>
      </c>
      <c r="N51" s="1"/>
      <c r="O51" s="127">
        <f>O48-O50</f>
        <v>119.31419921465184</v>
      </c>
      <c r="P51" s="128">
        <f>P48-P50</f>
        <v>121.2763925729443</v>
      </c>
      <c r="Q51" s="128">
        <f>Q48-Q50</f>
        <v>100.03232323232322</v>
      </c>
      <c r="R51" s="128">
        <f>R48-R50</f>
        <v>72.977226171827908</v>
      </c>
      <c r="S51" s="129">
        <f>S48-S50</f>
        <v>413.60014119174718</v>
      </c>
      <c r="T51" s="1"/>
      <c r="U51" s="127">
        <f>U48-U50</f>
        <v>0</v>
      </c>
      <c r="V51" s="128">
        <f>V48-V50</f>
        <v>0</v>
      </c>
      <c r="W51" s="128">
        <f>W48-W50</f>
        <v>0</v>
      </c>
      <c r="X51" s="128">
        <f>X48-X50</f>
        <v>0</v>
      </c>
      <c r="Y51" s="129">
        <f>Y48-Y50</f>
        <v>0</v>
      </c>
      <c r="Z51" s="1"/>
      <c r="AA51" s="1"/>
      <c r="AB51" s="1"/>
      <c r="AC51" s="1"/>
      <c r="AD51" s="1"/>
      <c r="AE51" s="1"/>
      <c r="AF51" s="1"/>
      <c r="AG51" s="91">
        <f t="shared" si="49"/>
        <v>0.11508597396870868</v>
      </c>
      <c r="AH51" s="91">
        <f t="shared" si="49"/>
        <v>0.12292956086059537</v>
      </c>
      <c r="AI51" s="91">
        <f t="shared" si="49"/>
        <v>4.200336700336682E-2</v>
      </c>
      <c r="AJ51" s="91">
        <f t="shared" si="49"/>
        <v>-1.3821267948271543E-2</v>
      </c>
      <c r="AK51" s="91">
        <f t="shared" si="49"/>
        <v>7.4286081017525207E-2</v>
      </c>
    </row>
    <row r="52" spans="1:37">
      <c r="A52" s="54" t="s">
        <v>85</v>
      </c>
      <c r="B52" s="57"/>
      <c r="C52" s="58">
        <f>C51/C47</f>
        <v>0.24768518518518517</v>
      </c>
      <c r="D52" s="72">
        <f>D51/D47</f>
        <v>0.25352112676056338</v>
      </c>
      <c r="E52" s="72">
        <f>E51/E47</f>
        <v>0.22802850356294538</v>
      </c>
      <c r="F52" s="72">
        <f>F51/F47</f>
        <v>0.1791767554479419</v>
      </c>
      <c r="G52" s="59">
        <f>G51/G47</f>
        <v>0.22754137115839243</v>
      </c>
      <c r="H52" s="61"/>
      <c r="I52" s="58">
        <f>I51/I47</f>
        <v>0.2309278350515464</v>
      </c>
      <c r="J52" s="72">
        <f>J51/J47</f>
        <v>0.1807909604519774</v>
      </c>
      <c r="K52" s="72">
        <f>K51/K47</f>
        <v>0.23501199040767387</v>
      </c>
      <c r="L52" s="72">
        <f>L51/L47</f>
        <v>0.23287671232876711</v>
      </c>
      <c r="M52" s="59">
        <f>M51/M47</f>
        <v>0.22195985832349469</v>
      </c>
      <c r="N52" s="60"/>
      <c r="O52" s="58">
        <f>O51/O47</f>
        <v>0.2543986673069823</v>
      </c>
      <c r="P52" s="72">
        <f>P51/P47</f>
        <v>0.25411047320523295</v>
      </c>
      <c r="Q52" s="72">
        <f>Q51/Q47</f>
        <v>0.22460312941399194</v>
      </c>
      <c r="R52" s="72">
        <f>R51/R47</f>
        <v>0.17118662583435015</v>
      </c>
      <c r="S52" s="59">
        <f>S51/S47</f>
        <v>0.22751043910668703</v>
      </c>
      <c r="T52" s="61"/>
      <c r="U52" s="58" t="e">
        <f>U51/U47</f>
        <v>#DIV/0!</v>
      </c>
      <c r="V52" s="72" t="e">
        <f>V51/V47</f>
        <v>#DIV/0!</v>
      </c>
      <c r="W52" s="72" t="e">
        <f>W51/W47</f>
        <v>#DIV/0!</v>
      </c>
      <c r="X52" s="72" t="e">
        <f>X51/X47</f>
        <v>#DIV/0!</v>
      </c>
      <c r="Y52" s="59" t="e">
        <f>Y51/Y47</f>
        <v>#DIV/0!</v>
      </c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>
      <c r="A53" s="52"/>
      <c r="B53" s="1"/>
      <c r="C53" s="135"/>
      <c r="D53" s="134"/>
      <c r="E53" s="134"/>
      <c r="F53" s="134"/>
      <c r="G53" s="125"/>
      <c r="H53" s="1"/>
      <c r="I53" s="135"/>
      <c r="J53" s="134"/>
      <c r="K53" s="134"/>
      <c r="L53" s="134"/>
      <c r="M53" s="136"/>
      <c r="N53" s="1"/>
      <c r="O53" s="135"/>
      <c r="P53" s="134"/>
      <c r="Q53" s="134"/>
      <c r="R53" s="134"/>
      <c r="S53" s="125"/>
      <c r="T53" s="1"/>
      <c r="U53" s="135"/>
      <c r="V53" s="134"/>
      <c r="W53" s="134"/>
      <c r="X53" s="134"/>
      <c r="Y53" s="125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>
      <c r="A54" s="53" t="s">
        <v>93</v>
      </c>
      <c r="B54" s="1"/>
      <c r="C54" s="135"/>
      <c r="D54" s="134"/>
      <c r="E54" s="134"/>
      <c r="F54" s="134"/>
      <c r="G54" s="125"/>
      <c r="H54" s="1"/>
      <c r="I54" s="135"/>
      <c r="J54" s="134"/>
      <c r="K54" s="134"/>
      <c r="L54" s="134"/>
      <c r="M54" s="136"/>
      <c r="N54" s="1"/>
      <c r="O54" s="135"/>
      <c r="P54" s="134"/>
      <c r="Q54" s="134"/>
      <c r="R54" s="134"/>
      <c r="S54" s="125"/>
      <c r="T54" s="1"/>
      <c r="U54" s="135"/>
      <c r="V54" s="134"/>
      <c r="W54" s="134"/>
      <c r="X54" s="134"/>
      <c r="Y54" s="125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>
      <c r="A55" s="77" t="s">
        <v>84</v>
      </c>
      <c r="B55" s="126"/>
      <c r="C55" s="127">
        <v>607</v>
      </c>
      <c r="D55" s="128">
        <v>804</v>
      </c>
      <c r="E55" s="128">
        <v>719</v>
      </c>
      <c r="F55" s="128">
        <v>891</v>
      </c>
      <c r="G55" s="129">
        <f>SUM(C55:F55)</f>
        <v>3021</v>
      </c>
      <c r="H55" s="1"/>
      <c r="I55" s="127">
        <v>649</v>
      </c>
      <c r="J55" s="128">
        <v>910</v>
      </c>
      <c r="K55" s="128">
        <v>874</v>
      </c>
      <c r="L55" s="128">
        <v>878</v>
      </c>
      <c r="M55" s="129">
        <f>SUM(I55:L55)</f>
        <v>3311</v>
      </c>
      <c r="N55" s="137"/>
      <c r="O55" s="127">
        <f>C55*O14/C14</f>
        <v>658.99518768046198</v>
      </c>
      <c r="P55" s="128">
        <f t="shared" ref="P55:R55" si="50">D55*P14/D14</f>
        <v>900.74146341463415</v>
      </c>
      <c r="Q55" s="128">
        <f t="shared" si="50"/>
        <v>760.62631578947367</v>
      </c>
      <c r="R55" s="128">
        <f t="shared" si="50"/>
        <v>919.69785276073617</v>
      </c>
      <c r="S55" s="129">
        <f>SUM(O55:R55)</f>
        <v>3240.0608196453059</v>
      </c>
      <c r="T55" s="1"/>
      <c r="U55" s="127"/>
      <c r="V55" s="128"/>
      <c r="W55" s="128"/>
      <c r="X55" s="128"/>
      <c r="Y55" s="129">
        <f>SUM(U55:X55)</f>
        <v>0</v>
      </c>
      <c r="Z55" s="165">
        <f>M55/S55-1</f>
        <v>2.1894397760860551E-2</v>
      </c>
      <c r="AA55" s="165">
        <f>M55/G55-1</f>
        <v>9.5994703740483356E-2</v>
      </c>
      <c r="AB55" s="186">
        <f>M55/S55-1</f>
        <v>2.1894397760860551E-2</v>
      </c>
      <c r="AC55" s="1"/>
      <c r="AD55" s="91">
        <f>L55/R55-1</f>
        <v>-4.5338643159346437E-2</v>
      </c>
      <c r="AE55" s="91">
        <f>M55/S55-1</f>
        <v>2.1894397760860551E-2</v>
      </c>
      <c r="AF55" s="1"/>
      <c r="AG55" s="91">
        <f t="shared" ref="AG55:AK56" si="51">O55/C55-1</f>
        <v>8.5659287776708393E-2</v>
      </c>
      <c r="AH55" s="91">
        <f t="shared" si="51"/>
        <v>0.12032520325203255</v>
      </c>
      <c r="AI55" s="91">
        <f t="shared" si="51"/>
        <v>5.7894736842105221E-2</v>
      </c>
      <c r="AJ55" s="91">
        <f t="shared" si="51"/>
        <v>3.220858895705514E-2</v>
      </c>
      <c r="AK55" s="91">
        <f t="shared" si="51"/>
        <v>7.2512684424133056E-2</v>
      </c>
    </row>
    <row r="56" spans="1:37">
      <c r="A56" s="52" t="s">
        <v>15</v>
      </c>
      <c r="B56" s="1"/>
      <c r="C56" s="124">
        <v>230</v>
      </c>
      <c r="D56" s="123">
        <v>342</v>
      </c>
      <c r="E56" s="123">
        <v>301</v>
      </c>
      <c r="F56" s="123">
        <v>396</v>
      </c>
      <c r="G56" s="125">
        <f>SUM(C56:F56)</f>
        <v>1269</v>
      </c>
      <c r="H56" s="1"/>
      <c r="I56" s="124">
        <v>262</v>
      </c>
      <c r="J56" s="123">
        <v>394</v>
      </c>
      <c r="K56" s="123">
        <v>372</v>
      </c>
      <c r="L56" s="123">
        <v>386</v>
      </c>
      <c r="M56" s="125">
        <f>SUM(I56:L56)</f>
        <v>1414</v>
      </c>
      <c r="N56" s="1"/>
      <c r="O56" s="124">
        <f>C56*O15/C15</f>
        <v>251.1378555798687</v>
      </c>
      <c r="P56" s="123">
        <f t="shared" ref="P56" si="52">D56*P15/D15</f>
        <v>383.4</v>
      </c>
      <c r="Q56" s="123">
        <f t="shared" ref="Q56" si="53">E56*Q15/E15</f>
        <v>316.96212121212119</v>
      </c>
      <c r="R56" s="123">
        <f t="shared" ref="R56" si="54">F56*R15/F15</f>
        <v>405.2093023255814</v>
      </c>
      <c r="S56" s="125">
        <f>SUM(O56:R56)</f>
        <v>1356.7092791175712</v>
      </c>
      <c r="T56" s="1"/>
      <c r="U56" s="124"/>
      <c r="V56" s="123"/>
      <c r="W56" s="123"/>
      <c r="X56" s="123"/>
      <c r="Y56" s="125">
        <f>SUM(U56:X56)</f>
        <v>0</v>
      </c>
      <c r="Z56" s="1"/>
      <c r="AA56" s="1"/>
      <c r="AB56" s="1"/>
      <c r="AC56" s="1"/>
      <c r="AD56" s="1"/>
      <c r="AE56" s="1"/>
      <c r="AF56" s="1"/>
      <c r="AG56" s="91">
        <f t="shared" si="51"/>
        <v>9.1903719912472592E-2</v>
      </c>
      <c r="AH56" s="91">
        <f t="shared" si="51"/>
        <v>0.1210526315789473</v>
      </c>
      <c r="AI56" s="91">
        <f t="shared" si="51"/>
        <v>5.3030303030302983E-2</v>
      </c>
      <c r="AJ56" s="91">
        <f t="shared" si="51"/>
        <v>2.3255813953488413E-2</v>
      </c>
      <c r="AK56" s="91">
        <f t="shared" si="51"/>
        <v>6.9116847216368127E-2</v>
      </c>
    </row>
    <row r="57" spans="1:37">
      <c r="A57" s="54" t="s">
        <v>85</v>
      </c>
      <c r="B57" s="60"/>
      <c r="C57" s="58">
        <f>C56/C55</f>
        <v>0.37891268533772654</v>
      </c>
      <c r="D57" s="72">
        <f>D56/D55</f>
        <v>0.42537313432835822</v>
      </c>
      <c r="E57" s="72">
        <f>E56/E55</f>
        <v>0.41863699582753827</v>
      </c>
      <c r="F57" s="72">
        <f>F56/F55</f>
        <v>0.44444444444444442</v>
      </c>
      <c r="G57" s="59">
        <f>G56/G55</f>
        <v>0.42005958291956308</v>
      </c>
      <c r="H57" s="61"/>
      <c r="I57" s="58">
        <f>I56/I55</f>
        <v>0.40369799691833591</v>
      </c>
      <c r="J57" s="72">
        <f>J56/J55</f>
        <v>0.43296703296703298</v>
      </c>
      <c r="K57" s="72">
        <f>K56/K55</f>
        <v>0.42562929061784899</v>
      </c>
      <c r="L57" s="72">
        <f>L56/L55</f>
        <v>0.43963553530751709</v>
      </c>
      <c r="M57" s="59">
        <f>M56/M55</f>
        <v>0.42706131078224102</v>
      </c>
      <c r="N57" s="60"/>
      <c r="O57" s="58">
        <f>O56/O55</f>
        <v>0.38109209334870303</v>
      </c>
      <c r="P57" s="72">
        <f>P56/P55</f>
        <v>0.4256493295496393</v>
      </c>
      <c r="Q57" s="72">
        <f>Q56/Q55</f>
        <v>0.4167120103951939</v>
      </c>
      <c r="R57" s="72">
        <f>R56/R55</f>
        <v>0.44058959266810266</v>
      </c>
      <c r="S57" s="59">
        <f>S56/S55</f>
        <v>0.41872957164615576</v>
      </c>
      <c r="T57" s="61"/>
      <c r="U57" s="58" t="e">
        <f>U56/U55</f>
        <v>#DIV/0!</v>
      </c>
      <c r="V57" s="72" t="e">
        <f>V56/V55</f>
        <v>#DIV/0!</v>
      </c>
      <c r="W57" s="72" t="e">
        <f>W56/W55</f>
        <v>#DIV/0!</v>
      </c>
      <c r="X57" s="72" t="e">
        <f>X56/X55</f>
        <v>#DIV/0!</v>
      </c>
      <c r="Y57" s="59" t="e">
        <f>Y56/Y55</f>
        <v>#DIV/0!</v>
      </c>
      <c r="Z57" s="1"/>
      <c r="AA57" s="1"/>
      <c r="AB57" s="1"/>
      <c r="AC57" s="1"/>
      <c r="AD57" s="1"/>
      <c r="AE57" s="1"/>
      <c r="AF57" s="1"/>
      <c r="AG57" s="91"/>
      <c r="AH57" s="91"/>
      <c r="AI57" s="91"/>
      <c r="AJ57" s="91"/>
      <c r="AK57" s="91"/>
    </row>
    <row r="58" spans="1:37">
      <c r="A58" s="52" t="s">
        <v>21</v>
      </c>
      <c r="B58" s="1"/>
      <c r="C58" s="138">
        <v>246</v>
      </c>
      <c r="D58" s="139">
        <v>258</v>
      </c>
      <c r="E58" s="123">
        <v>232</v>
      </c>
      <c r="F58" s="123">
        <v>255</v>
      </c>
      <c r="G58" s="125">
        <f>SUM(C58:F58)</f>
        <v>991</v>
      </c>
      <c r="H58" s="1"/>
      <c r="I58" s="138">
        <v>274</v>
      </c>
      <c r="J58" s="123">
        <v>262</v>
      </c>
      <c r="K58" s="123">
        <v>260</v>
      </c>
      <c r="L58" s="123">
        <v>254</v>
      </c>
      <c r="M58" s="125">
        <f>SUM(I58:L58)</f>
        <v>1050</v>
      </c>
      <c r="N58" s="1"/>
      <c r="O58" s="138">
        <f>C58*O17/C17</f>
        <v>263.52328767123288</v>
      </c>
      <c r="P58" s="139">
        <f t="shared" ref="P58" si="55">D58*P17/D17</f>
        <v>288.79575596816977</v>
      </c>
      <c r="Q58" s="123">
        <f t="shared" ref="Q58" si="56">E58*Q17/E17</f>
        <v>246.17777777777778</v>
      </c>
      <c r="R58" s="123">
        <f t="shared" ref="R58" si="57">F58*R17/F17</f>
        <v>266.23056994818654</v>
      </c>
      <c r="S58" s="125">
        <f>SUM(O58:R58)</f>
        <v>1064.7273913653671</v>
      </c>
      <c r="T58" s="1"/>
      <c r="U58" s="138"/>
      <c r="V58" s="139"/>
      <c r="W58" s="123"/>
      <c r="X58" s="123"/>
      <c r="Y58" s="125">
        <f>SUM(U58:X58)</f>
        <v>0</v>
      </c>
      <c r="Z58" s="1"/>
      <c r="AA58" s="1"/>
      <c r="AB58" s="1"/>
      <c r="AC58" s="1"/>
      <c r="AD58" s="1"/>
      <c r="AE58" s="1"/>
      <c r="AF58" s="1"/>
      <c r="AG58" s="91">
        <f t="shared" ref="AG58:AK59" si="58">O58/C58-1</f>
        <v>7.1232876712328697E-2</v>
      </c>
      <c r="AH58" s="91">
        <f t="shared" si="58"/>
        <v>0.11936339522546424</v>
      </c>
      <c r="AI58" s="91">
        <f t="shared" si="58"/>
        <v>6.1111111111111116E-2</v>
      </c>
      <c r="AJ58" s="91">
        <f t="shared" si="58"/>
        <v>4.4041450777202229E-2</v>
      </c>
      <c r="AK58" s="91">
        <f t="shared" si="58"/>
        <v>7.4396964041742786E-2</v>
      </c>
    </row>
    <row r="59" spans="1:37">
      <c r="A59" s="77" t="s">
        <v>86</v>
      </c>
      <c r="B59" s="1"/>
      <c r="C59" s="127">
        <f>C56-C58</f>
        <v>-16</v>
      </c>
      <c r="D59" s="128">
        <f>D56-D58</f>
        <v>84</v>
      </c>
      <c r="E59" s="128">
        <f>E56-E58</f>
        <v>69</v>
      </c>
      <c r="F59" s="128">
        <f>F56-F58</f>
        <v>141</v>
      </c>
      <c r="G59" s="129">
        <f>G56-G58</f>
        <v>278</v>
      </c>
      <c r="H59" s="1"/>
      <c r="I59" s="127">
        <f>I56-I58</f>
        <v>-12</v>
      </c>
      <c r="J59" s="128">
        <f>J56-J58</f>
        <v>132</v>
      </c>
      <c r="K59" s="128">
        <f>K56-K58</f>
        <v>112</v>
      </c>
      <c r="L59" s="128">
        <f>L56-L58</f>
        <v>132</v>
      </c>
      <c r="M59" s="129">
        <f>M56-M58</f>
        <v>364</v>
      </c>
      <c r="N59" s="1"/>
      <c r="O59" s="127">
        <f>O56-O58</f>
        <v>-12.38543209136418</v>
      </c>
      <c r="P59" s="128">
        <f>P56-P58</f>
        <v>94.604244031830206</v>
      </c>
      <c r="Q59" s="128">
        <f>Q56-Q58</f>
        <v>70.784343434343413</v>
      </c>
      <c r="R59" s="128">
        <f>R56-R58</f>
        <v>138.97873237739486</v>
      </c>
      <c r="S59" s="129">
        <f>S56-S58</f>
        <v>291.9818877522041</v>
      </c>
      <c r="T59" s="1"/>
      <c r="U59" s="127">
        <f>U56-U58</f>
        <v>0</v>
      </c>
      <c r="V59" s="128">
        <f>V56-V58</f>
        <v>0</v>
      </c>
      <c r="W59" s="128">
        <f>W56-W58</f>
        <v>0</v>
      </c>
      <c r="X59" s="128">
        <f>X56-X58</f>
        <v>0</v>
      </c>
      <c r="Y59" s="129">
        <f>Y56-Y58</f>
        <v>0</v>
      </c>
      <c r="Z59" s="1"/>
      <c r="AA59" s="1"/>
      <c r="AB59" s="1"/>
      <c r="AC59" s="1"/>
      <c r="AD59" s="1"/>
      <c r="AE59" s="1"/>
      <c r="AF59" s="1"/>
      <c r="AG59" s="91">
        <f t="shared" si="58"/>
        <v>-0.22591049428973875</v>
      </c>
      <c r="AH59" s="91">
        <f t="shared" si="58"/>
        <v>0.12624100037893093</v>
      </c>
      <c r="AI59" s="91">
        <f t="shared" si="58"/>
        <v>2.5860049773092975E-2</v>
      </c>
      <c r="AJ59" s="91">
        <f t="shared" si="58"/>
        <v>-1.4335231365993906E-2</v>
      </c>
      <c r="AK59" s="91">
        <f t="shared" si="58"/>
        <v>5.0294560259726895E-2</v>
      </c>
    </row>
    <row r="60" spans="1:37">
      <c r="A60" s="54" t="s">
        <v>85</v>
      </c>
      <c r="B60" s="57"/>
      <c r="C60" s="58">
        <f>C59/C55</f>
        <v>-2.6359143327841845E-2</v>
      </c>
      <c r="D60" s="72">
        <f>D59/D55</f>
        <v>0.1044776119402985</v>
      </c>
      <c r="E60" s="72">
        <f>E59/E55</f>
        <v>9.5966620305980535E-2</v>
      </c>
      <c r="F60" s="72">
        <f>F59/F55</f>
        <v>0.15824915824915825</v>
      </c>
      <c r="G60" s="59">
        <f>G59/G55</f>
        <v>9.2022509102946043E-2</v>
      </c>
      <c r="H60" s="61"/>
      <c r="I60" s="58">
        <f>I59/I55</f>
        <v>-1.8489984591679508E-2</v>
      </c>
      <c r="J60" s="72">
        <f>J59/J55</f>
        <v>0.14505494505494507</v>
      </c>
      <c r="K60" s="72">
        <f>K59/K55</f>
        <v>0.12814645308924486</v>
      </c>
      <c r="L60" s="72">
        <f>L59/L55</f>
        <v>0.15034168564920272</v>
      </c>
      <c r="M60" s="59">
        <f>M59/M55</f>
        <v>0.10993657505285412</v>
      </c>
      <c r="N60" s="60"/>
      <c r="O60" s="58">
        <f>O59/O55</f>
        <v>-1.8794419629919529E-2</v>
      </c>
      <c r="P60" s="72">
        <f>P59/P55</f>
        <v>0.10502929849947573</v>
      </c>
      <c r="Q60" s="72">
        <f>Q59/Q55</f>
        <v>9.3060602775588322E-2</v>
      </c>
      <c r="R60" s="72">
        <f>R59/R55</f>
        <v>0.15111346836377887</v>
      </c>
      <c r="S60" s="59">
        <f>S59/S55</f>
        <v>9.011617497481661E-2</v>
      </c>
      <c r="T60" s="61"/>
      <c r="U60" s="58" t="e">
        <f>U59/U55</f>
        <v>#DIV/0!</v>
      </c>
      <c r="V60" s="72" t="e">
        <f>V59/V55</f>
        <v>#DIV/0!</v>
      </c>
      <c r="W60" s="72" t="e">
        <f>W59/W55</f>
        <v>#DIV/0!</v>
      </c>
      <c r="X60" s="72" t="e">
        <f>X59/X55</f>
        <v>#DIV/0!</v>
      </c>
      <c r="Y60" s="59" t="e">
        <f>Y59/Y55</f>
        <v>#DIV/0!</v>
      </c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>
      <c r="A61" s="52"/>
      <c r="B61" s="1"/>
      <c r="C61" s="146"/>
      <c r="D61" s="148"/>
      <c r="E61" s="148"/>
      <c r="F61" s="148"/>
      <c r="G61" s="147"/>
      <c r="H61" s="1"/>
      <c r="I61" s="146"/>
      <c r="J61" s="148"/>
      <c r="K61" s="148"/>
      <c r="L61" s="148"/>
      <c r="M61" s="147"/>
      <c r="N61" s="1"/>
      <c r="O61" s="146"/>
      <c r="P61" s="148"/>
      <c r="Q61" s="148"/>
      <c r="R61" s="148"/>
      <c r="S61" s="147"/>
      <c r="T61" s="1"/>
      <c r="U61" s="146"/>
      <c r="V61" s="148"/>
      <c r="W61" s="148"/>
      <c r="X61" s="148"/>
      <c r="Y61" s="147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>
      <c r="A62" s="53" t="s">
        <v>88</v>
      </c>
      <c r="B62" s="1"/>
      <c r="C62" s="121"/>
      <c r="D62" s="116"/>
      <c r="E62" s="116"/>
      <c r="F62" s="116"/>
      <c r="G62" s="122"/>
      <c r="H62" s="1"/>
      <c r="I62" s="121"/>
      <c r="J62" s="116"/>
      <c r="K62" s="116"/>
      <c r="L62" s="116"/>
      <c r="M62" s="122"/>
      <c r="N62" s="1"/>
      <c r="O62" s="121"/>
      <c r="P62" s="116"/>
      <c r="Q62" s="116"/>
      <c r="R62" s="116"/>
      <c r="S62" s="122"/>
      <c r="T62" s="1"/>
      <c r="U62" s="121"/>
      <c r="V62" s="116"/>
      <c r="W62" s="116"/>
      <c r="X62" s="116"/>
      <c r="Y62" s="122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>
      <c r="A63" s="52" t="s">
        <v>21</v>
      </c>
      <c r="B63" s="1"/>
      <c r="C63" s="124">
        <v>23</v>
      </c>
      <c r="D63" s="139">
        <v>23</v>
      </c>
      <c r="E63" s="123">
        <v>21</v>
      </c>
      <c r="F63" s="123">
        <f>17+6</f>
        <v>23</v>
      </c>
      <c r="G63" s="141">
        <f>SUM(C63:F63)</f>
        <v>90</v>
      </c>
      <c r="H63" s="1"/>
      <c r="I63" s="138">
        <v>23</v>
      </c>
      <c r="J63" s="123">
        <v>26</v>
      </c>
      <c r="K63" s="123">
        <v>25</v>
      </c>
      <c r="L63" s="123">
        <v>25</v>
      </c>
      <c r="M63" s="125">
        <f>SUM(I63:L63)</f>
        <v>99</v>
      </c>
      <c r="N63" s="1"/>
      <c r="O63" s="124">
        <f>C63*O22/C22</f>
        <v>23.958333333333332</v>
      </c>
      <c r="P63" s="123">
        <f t="shared" ref="P63" si="59">D63*P22/D22</f>
        <v>23.958333333333332</v>
      </c>
      <c r="Q63" s="123">
        <f t="shared" ref="Q63" si="60">E63*Q22/E22</f>
        <v>21</v>
      </c>
      <c r="R63" s="123">
        <f t="shared" ref="R63" si="61">F63*R22/F22</f>
        <v>23</v>
      </c>
      <c r="S63" s="141">
        <f>SUM(O63:R63)</f>
        <v>91.916666666666657</v>
      </c>
      <c r="T63" s="1"/>
      <c r="U63" s="138"/>
      <c r="V63" s="139"/>
      <c r="W63" s="123"/>
      <c r="X63" s="123"/>
      <c r="Y63" s="141">
        <f>SUM(U63:X63)</f>
        <v>0</v>
      </c>
      <c r="Z63" s="1"/>
      <c r="AA63" s="1"/>
      <c r="AB63" s="1"/>
      <c r="AC63" s="1"/>
      <c r="AD63" s="1"/>
      <c r="AE63" s="1"/>
      <c r="AF63" s="1"/>
      <c r="AG63" s="91">
        <f>O63/C63-1</f>
        <v>4.1666666666666519E-2</v>
      </c>
      <c r="AH63" s="91">
        <f>P63/D63-1</f>
        <v>4.1666666666666519E-2</v>
      </c>
      <c r="AI63" s="91">
        <f>Q63/E63-1</f>
        <v>0</v>
      </c>
      <c r="AJ63" s="91">
        <f>R63/F63-1</f>
        <v>0</v>
      </c>
      <c r="AK63" s="91">
        <f>S63/G63-1</f>
        <v>2.1296296296296147E-2</v>
      </c>
    </row>
    <row r="64" spans="1:37">
      <c r="A64" s="77" t="s">
        <v>86</v>
      </c>
      <c r="B64" s="1"/>
      <c r="C64" s="127">
        <f>-C63</f>
        <v>-23</v>
      </c>
      <c r="D64" s="128">
        <f>-D63</f>
        <v>-23</v>
      </c>
      <c r="E64" s="128">
        <f>-E63</f>
        <v>-21</v>
      </c>
      <c r="F64" s="128">
        <f>-F63</f>
        <v>-23</v>
      </c>
      <c r="G64" s="129">
        <f>-G63</f>
        <v>-90</v>
      </c>
      <c r="H64" s="1"/>
      <c r="I64" s="127">
        <f>-I63</f>
        <v>-23</v>
      </c>
      <c r="J64" s="128">
        <f>-J63</f>
        <v>-26</v>
      </c>
      <c r="K64" s="128">
        <f>-K63</f>
        <v>-25</v>
      </c>
      <c r="L64" s="128">
        <f>-L63</f>
        <v>-25</v>
      </c>
      <c r="M64" s="129">
        <f>-M63</f>
        <v>-99</v>
      </c>
      <c r="N64" s="1"/>
      <c r="O64" s="127">
        <f>-O63</f>
        <v>-23.958333333333332</v>
      </c>
      <c r="P64" s="128">
        <f>-P63</f>
        <v>-23.958333333333332</v>
      </c>
      <c r="Q64" s="128">
        <f>-Q63</f>
        <v>-21</v>
      </c>
      <c r="R64" s="128">
        <f>-R63</f>
        <v>-23</v>
      </c>
      <c r="S64" s="129">
        <f>-S63</f>
        <v>-91.916666666666657</v>
      </c>
      <c r="T64" s="1"/>
      <c r="U64" s="127">
        <f>-U63</f>
        <v>0</v>
      </c>
      <c r="V64" s="128">
        <f>-V63</f>
        <v>0</v>
      </c>
      <c r="W64" s="128">
        <f>-W63</f>
        <v>0</v>
      </c>
      <c r="X64" s="128">
        <f>-X63</f>
        <v>0</v>
      </c>
      <c r="Y64" s="129">
        <f>-Y63</f>
        <v>0</v>
      </c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12" thickBot="1">
      <c r="A65" s="65" t="s">
        <v>85</v>
      </c>
      <c r="B65" s="60"/>
      <c r="C65" s="66" t="s">
        <v>89</v>
      </c>
      <c r="D65" s="67" t="s">
        <v>89</v>
      </c>
      <c r="E65" s="67" t="s">
        <v>89</v>
      </c>
      <c r="F65" s="67" t="s">
        <v>89</v>
      </c>
      <c r="G65" s="68" t="s">
        <v>89</v>
      </c>
      <c r="H65" s="60"/>
      <c r="I65" s="66" t="s">
        <v>89</v>
      </c>
      <c r="J65" s="67" t="s">
        <v>89</v>
      </c>
      <c r="K65" s="67" t="s">
        <v>89</v>
      </c>
      <c r="L65" s="67" t="s">
        <v>89</v>
      </c>
      <c r="M65" s="68" t="s">
        <v>89</v>
      </c>
      <c r="N65" s="60"/>
      <c r="O65" s="66" t="s">
        <v>89</v>
      </c>
      <c r="P65" s="67" t="s">
        <v>89</v>
      </c>
      <c r="Q65" s="67" t="s">
        <v>89</v>
      </c>
      <c r="R65" s="67" t="s">
        <v>89</v>
      </c>
      <c r="S65" s="68" t="s">
        <v>89</v>
      </c>
      <c r="T65" s="60"/>
      <c r="U65" s="66" t="s">
        <v>89</v>
      </c>
      <c r="V65" s="67" t="s">
        <v>89</v>
      </c>
      <c r="W65" s="67" t="s">
        <v>89</v>
      </c>
      <c r="X65" s="67" t="s">
        <v>89</v>
      </c>
      <c r="Y65" s="68" t="s">
        <v>89</v>
      </c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12" thickBot="1">
      <c r="A66" s="1"/>
      <c r="B66" s="1"/>
      <c r="C66" s="130"/>
      <c r="D66" s="130"/>
      <c r="E66" s="130"/>
      <c r="F66" s="130"/>
      <c r="G66" s="130"/>
      <c r="H66" s="1"/>
      <c r="I66" s="130"/>
      <c r="J66" s="130"/>
      <c r="K66" s="130"/>
      <c r="L66" s="130"/>
      <c r="M66" s="13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>
      <c r="A67" s="178" t="s">
        <v>90</v>
      </c>
      <c r="B67" s="123"/>
      <c r="C67" s="117"/>
      <c r="D67" s="119"/>
      <c r="E67" s="119"/>
      <c r="F67" s="119"/>
      <c r="G67" s="118"/>
      <c r="H67" s="123"/>
      <c r="I67" s="117"/>
      <c r="J67" s="119"/>
      <c r="K67" s="119"/>
      <c r="L67" s="119"/>
      <c r="M67" s="118"/>
      <c r="N67" s="1"/>
      <c r="O67" s="117"/>
      <c r="P67" s="119"/>
      <c r="Q67" s="119"/>
      <c r="R67" s="119"/>
      <c r="S67" s="118"/>
      <c r="T67" s="123"/>
      <c r="U67" s="117"/>
      <c r="V67" s="119"/>
      <c r="W67" s="119"/>
      <c r="X67" s="119"/>
      <c r="Y67" s="118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>
      <c r="A68" s="77" t="s">
        <v>84</v>
      </c>
      <c r="B68" s="126"/>
      <c r="C68" s="127">
        <f>C39+C47+C55</f>
        <v>2081</v>
      </c>
      <c r="D68" s="128">
        <f t="shared" ref="D68:G68" si="62">D39+D47+D55</f>
        <v>2318</v>
      </c>
      <c r="E68" s="128">
        <f t="shared" si="62"/>
        <v>2378</v>
      </c>
      <c r="F68" s="128">
        <f t="shared" si="62"/>
        <v>2569</v>
      </c>
      <c r="G68" s="129">
        <f t="shared" si="62"/>
        <v>9346</v>
      </c>
      <c r="H68" s="1"/>
      <c r="I68" s="127">
        <f>I39+I47+I55</f>
        <v>2302</v>
      </c>
      <c r="J68" s="128">
        <f t="shared" ref="J68:M68" si="63">J39+J47+J55</f>
        <v>2319</v>
      </c>
      <c r="K68" s="128">
        <f t="shared" si="63"/>
        <v>2578</v>
      </c>
      <c r="L68" s="128">
        <f t="shared" si="63"/>
        <v>2742</v>
      </c>
      <c r="M68" s="129">
        <f t="shared" si="63"/>
        <v>9941</v>
      </c>
      <c r="N68" s="1"/>
      <c r="O68" s="127">
        <f>O39+O47+O55</f>
        <v>2244</v>
      </c>
      <c r="P68" s="128">
        <f t="shared" ref="P68:S68" si="64">P39+P47+P55</f>
        <v>2597</v>
      </c>
      <c r="Q68" s="128">
        <f t="shared" si="64"/>
        <v>2508</v>
      </c>
      <c r="R68" s="128">
        <f t="shared" si="64"/>
        <v>2648</v>
      </c>
      <c r="S68" s="129">
        <f t="shared" si="64"/>
        <v>9997</v>
      </c>
      <c r="T68" s="1"/>
      <c r="U68" s="127">
        <f>U39+U47+U55</f>
        <v>0</v>
      </c>
      <c r="V68" s="128">
        <f t="shared" ref="V68:Y68" si="65">V39+V47+V55</f>
        <v>0</v>
      </c>
      <c r="W68" s="128">
        <f t="shared" si="65"/>
        <v>0</v>
      </c>
      <c r="X68" s="128">
        <f t="shared" si="65"/>
        <v>0</v>
      </c>
      <c r="Y68" s="129">
        <f t="shared" si="65"/>
        <v>0</v>
      </c>
      <c r="Z68" s="165">
        <f>I68/C68-1</f>
        <v>0.10619894281595377</v>
      </c>
      <c r="AA68" s="165">
        <f>M68/S68-1</f>
        <v>-5.6016805041512185E-3</v>
      </c>
      <c r="AB68" s="177">
        <f>S68-G68</f>
        <v>651</v>
      </c>
      <c r="AC68" s="1"/>
      <c r="AD68" s="91">
        <f>L68/R68-1</f>
        <v>3.5498489425981772E-2</v>
      </c>
      <c r="AE68" s="91">
        <f>M68/S68-1</f>
        <v>-5.6016805041512185E-3</v>
      </c>
      <c r="AF68" s="1"/>
      <c r="AG68" s="91">
        <f t="shared" ref="AG68:AK69" si="66">O68/C68-1</f>
        <v>7.83277270543008E-2</v>
      </c>
      <c r="AH68" s="91">
        <f t="shared" si="66"/>
        <v>0.12036238136324418</v>
      </c>
      <c r="AI68" s="91">
        <f t="shared" si="66"/>
        <v>5.4667788057190858E-2</v>
      </c>
      <c r="AJ68" s="91">
        <f t="shared" si="66"/>
        <v>3.0751265083690082E-2</v>
      </c>
      <c r="AK68" s="91">
        <f t="shared" si="66"/>
        <v>6.9655467579713193E-2</v>
      </c>
    </row>
    <row r="69" spans="1:37">
      <c r="A69" s="52" t="s">
        <v>15</v>
      </c>
      <c r="B69" s="123"/>
      <c r="C69" s="124">
        <f>C40+C48+C56</f>
        <v>874</v>
      </c>
      <c r="D69" s="123">
        <f t="shared" ref="D69:G69" si="67">D40+D48+D56</f>
        <v>1041</v>
      </c>
      <c r="E69" s="123">
        <f t="shared" si="67"/>
        <v>1062</v>
      </c>
      <c r="F69" s="123">
        <f t="shared" si="67"/>
        <v>1108</v>
      </c>
      <c r="G69" s="125">
        <f t="shared" si="67"/>
        <v>4085</v>
      </c>
      <c r="H69" s="1"/>
      <c r="I69" s="124">
        <f>I40+I48+I56</f>
        <v>973</v>
      </c>
      <c r="J69" s="123">
        <f t="shared" ref="J69:M69" si="68">J40+J48+J56</f>
        <v>995</v>
      </c>
      <c r="K69" s="123">
        <f t="shared" si="68"/>
        <v>1177</v>
      </c>
      <c r="L69" s="123">
        <f t="shared" si="68"/>
        <v>1221</v>
      </c>
      <c r="M69" s="125">
        <f t="shared" si="68"/>
        <v>4366</v>
      </c>
      <c r="N69" s="1"/>
      <c r="O69" s="124">
        <f>O40+O48+O56</f>
        <v>944</v>
      </c>
      <c r="P69" s="123">
        <f t="shared" ref="P69:S69" si="69">P40+P48+P56</f>
        <v>1163</v>
      </c>
      <c r="Q69" s="123">
        <f t="shared" si="69"/>
        <v>1114</v>
      </c>
      <c r="R69" s="123">
        <f t="shared" si="69"/>
        <v>1137</v>
      </c>
      <c r="S69" s="125">
        <f t="shared" si="69"/>
        <v>4358</v>
      </c>
      <c r="T69" s="1"/>
      <c r="U69" s="124">
        <f>U40+U48+U56</f>
        <v>0</v>
      </c>
      <c r="V69" s="123">
        <f t="shared" ref="V69:Y69" si="70">V40+V48+V56</f>
        <v>0</v>
      </c>
      <c r="W69" s="123">
        <f t="shared" si="70"/>
        <v>0</v>
      </c>
      <c r="X69" s="123">
        <f t="shared" si="70"/>
        <v>0</v>
      </c>
      <c r="Y69" s="125">
        <f t="shared" si="70"/>
        <v>0</v>
      </c>
      <c r="Z69" s="1"/>
      <c r="AA69" s="1"/>
      <c r="AB69" s="177">
        <f>S69-G69</f>
        <v>273</v>
      </c>
      <c r="AC69" s="1"/>
      <c r="AD69" s="1"/>
      <c r="AE69" s="1"/>
      <c r="AF69" s="1"/>
      <c r="AG69" s="91">
        <f t="shared" si="66"/>
        <v>8.0091533180778107E-2</v>
      </c>
      <c r="AH69" s="91">
        <f t="shared" si="66"/>
        <v>0.11719500480307388</v>
      </c>
      <c r="AI69" s="91">
        <f t="shared" si="66"/>
        <v>4.8964218455743946E-2</v>
      </c>
      <c r="AJ69" s="91">
        <f t="shared" si="66"/>
        <v>2.6173285198555885E-2</v>
      </c>
      <c r="AK69" s="91">
        <f t="shared" si="66"/>
        <v>6.6829865361077045E-2</v>
      </c>
    </row>
    <row r="70" spans="1:37">
      <c r="A70" s="54" t="s">
        <v>85</v>
      </c>
      <c r="B70" s="64"/>
      <c r="C70" s="58">
        <f>C69/C68</f>
        <v>0.41999038923594428</v>
      </c>
      <c r="D70" s="72">
        <f t="shared" ref="D70:G70" si="71">D69/D68</f>
        <v>0.44909404659188956</v>
      </c>
      <c r="E70" s="72">
        <f t="shared" si="71"/>
        <v>0.44659377628259039</v>
      </c>
      <c r="F70" s="72">
        <f t="shared" si="71"/>
        <v>0.43129622421175556</v>
      </c>
      <c r="G70" s="59">
        <f t="shared" si="71"/>
        <v>0.43708538412154935</v>
      </c>
      <c r="H70" s="61"/>
      <c r="I70" s="58">
        <f>I69/I68</f>
        <v>0.42267593397046049</v>
      </c>
      <c r="J70" s="72">
        <f t="shared" ref="J70" si="72">J69/J68</f>
        <v>0.42906425183268648</v>
      </c>
      <c r="K70" s="72">
        <f t="shared" ref="K70" si="73">K69/K68</f>
        <v>0.45655546935608998</v>
      </c>
      <c r="L70" s="72">
        <f t="shared" ref="L70" si="74">L69/L68</f>
        <v>0.44529540481400437</v>
      </c>
      <c r="M70" s="59">
        <f t="shared" ref="M70" si="75">M69/M68</f>
        <v>0.43919122824665524</v>
      </c>
      <c r="N70" s="60"/>
      <c r="O70" s="58">
        <f>O69/O68</f>
        <v>0.42067736185383242</v>
      </c>
      <c r="P70" s="72">
        <f t="shared" ref="P70" si="76">P69/P68</f>
        <v>0.4478244127839815</v>
      </c>
      <c r="Q70" s="72">
        <f t="shared" ref="Q70" si="77">Q69/Q68</f>
        <v>0.44417862838915473</v>
      </c>
      <c r="R70" s="72">
        <f t="shared" ref="R70" si="78">R69/R68</f>
        <v>0.42938066465256797</v>
      </c>
      <c r="S70" s="59">
        <f t="shared" ref="S70" si="79">S69/S68</f>
        <v>0.4359307792337701</v>
      </c>
      <c r="T70" s="61"/>
      <c r="U70" s="58" t="e">
        <f>U69/U68</f>
        <v>#DIV/0!</v>
      </c>
      <c r="V70" s="72" t="e">
        <f t="shared" ref="V70" si="80">V69/V68</f>
        <v>#DIV/0!</v>
      </c>
      <c r="W70" s="72" t="e">
        <f t="shared" ref="W70" si="81">W69/W68</f>
        <v>#DIV/0!</v>
      </c>
      <c r="X70" s="72" t="e">
        <f t="shared" ref="X70" si="82">X69/X68</f>
        <v>#DIV/0!</v>
      </c>
      <c r="Y70" s="59" t="e">
        <f t="shared" ref="Y70" si="83">Y69/Y68</f>
        <v>#DIV/0!</v>
      </c>
      <c r="Z70" s="1"/>
      <c r="AA70" s="1"/>
      <c r="AB70" s="177"/>
      <c r="AC70" s="1"/>
      <c r="AD70" s="1"/>
      <c r="AE70" s="1"/>
      <c r="AF70" s="1"/>
      <c r="AG70" s="91"/>
      <c r="AH70" s="91"/>
      <c r="AI70" s="91"/>
      <c r="AJ70" s="91"/>
      <c r="AK70" s="91"/>
    </row>
    <row r="71" spans="1:37">
      <c r="A71" s="52" t="s">
        <v>21</v>
      </c>
      <c r="B71" s="123"/>
      <c r="C71" s="124">
        <f>C42+C50+C58+C63</f>
        <v>667</v>
      </c>
      <c r="D71" s="123">
        <f t="shared" ref="D71:G71" si="84">D42+D50+D58+D63</f>
        <v>689</v>
      </c>
      <c r="E71" s="123">
        <f t="shared" si="84"/>
        <v>648</v>
      </c>
      <c r="F71" s="123">
        <f t="shared" si="84"/>
        <v>700</v>
      </c>
      <c r="G71" s="125">
        <f t="shared" si="84"/>
        <v>2704</v>
      </c>
      <c r="H71" s="1"/>
      <c r="I71" s="124">
        <f>I42+I50+I58+I63</f>
        <v>745</v>
      </c>
      <c r="J71" s="123">
        <f t="shared" ref="J71:M71" si="85">J42+J50+J58+J63</f>
        <v>707</v>
      </c>
      <c r="K71" s="123">
        <f t="shared" si="85"/>
        <v>676</v>
      </c>
      <c r="L71" s="123">
        <f t="shared" si="85"/>
        <v>716</v>
      </c>
      <c r="M71" s="125">
        <f t="shared" si="85"/>
        <v>2844</v>
      </c>
      <c r="N71" s="1"/>
      <c r="O71" s="124">
        <f>O42+O50+O58+O63</f>
        <v>713.02956621004569</v>
      </c>
      <c r="P71" s="123">
        <f t="shared" ref="P71:S71" si="86">P42+P50+P58+P63</f>
        <v>767.07769672855886</v>
      </c>
      <c r="Q71" s="123">
        <f t="shared" si="86"/>
        <v>681.18333333333339</v>
      </c>
      <c r="R71" s="123">
        <f t="shared" si="86"/>
        <v>726.04404145077729</v>
      </c>
      <c r="S71" s="125">
        <f t="shared" si="86"/>
        <v>2887.3346377227149</v>
      </c>
      <c r="T71" s="1"/>
      <c r="U71" s="124">
        <f>U42+U50+U58+U63</f>
        <v>0</v>
      </c>
      <c r="V71" s="123">
        <f t="shared" ref="V71:Y71" si="87">V42+V50+V58+V63</f>
        <v>0</v>
      </c>
      <c r="W71" s="123">
        <f t="shared" si="87"/>
        <v>0</v>
      </c>
      <c r="X71" s="123">
        <f t="shared" si="87"/>
        <v>0</v>
      </c>
      <c r="Y71" s="125">
        <f t="shared" si="87"/>
        <v>0</v>
      </c>
      <c r="Z71" s="1"/>
      <c r="AA71" s="1"/>
      <c r="AB71" s="177">
        <f>S71-G71</f>
        <v>183.33463772271489</v>
      </c>
      <c r="AC71" s="1"/>
      <c r="AD71" s="91">
        <f>L71/R71-1</f>
        <v>-1.3833928628774861E-2</v>
      </c>
      <c r="AE71" s="1"/>
      <c r="AF71" s="1"/>
      <c r="AG71" s="91">
        <f t="shared" ref="AG71:AK72" si="88">O71/C71-1</f>
        <v>6.9009844392872166E-2</v>
      </c>
      <c r="AH71" s="91">
        <f t="shared" si="88"/>
        <v>0.11332031455523772</v>
      </c>
      <c r="AI71" s="91">
        <f t="shared" si="88"/>
        <v>5.1208847736625707E-2</v>
      </c>
      <c r="AJ71" s="91">
        <f t="shared" si="88"/>
        <v>3.7205773501110428E-2</v>
      </c>
      <c r="AK71" s="91">
        <f t="shared" si="88"/>
        <v>6.7801271347157854E-2</v>
      </c>
    </row>
    <row r="72" spans="1:37">
      <c r="A72" s="77" t="s">
        <v>86</v>
      </c>
      <c r="B72" s="123"/>
      <c r="C72" s="127">
        <f>C69-C71</f>
        <v>207</v>
      </c>
      <c r="D72" s="128">
        <f t="shared" ref="D72:G72" si="89">D69-D71</f>
        <v>352</v>
      </c>
      <c r="E72" s="128">
        <f t="shared" si="89"/>
        <v>414</v>
      </c>
      <c r="F72" s="128">
        <f t="shared" si="89"/>
        <v>408</v>
      </c>
      <c r="G72" s="129">
        <f t="shared" si="89"/>
        <v>1381</v>
      </c>
      <c r="H72" s="1"/>
      <c r="I72" s="127">
        <f>I69-I71</f>
        <v>228</v>
      </c>
      <c r="J72" s="128">
        <f t="shared" ref="J72" si="90">J69-J71</f>
        <v>288</v>
      </c>
      <c r="K72" s="128">
        <f t="shared" ref="K72" si="91">K69-K71</f>
        <v>501</v>
      </c>
      <c r="L72" s="128">
        <f t="shared" ref="L72" si="92">L69-L71</f>
        <v>505</v>
      </c>
      <c r="M72" s="129">
        <f t="shared" ref="M72" si="93">M69-M71</f>
        <v>1522</v>
      </c>
      <c r="N72" s="1"/>
      <c r="O72" s="127">
        <f>O69-O71</f>
        <v>230.97043378995431</v>
      </c>
      <c r="P72" s="128">
        <f t="shared" ref="P72" si="94">P69-P71</f>
        <v>395.92230327144114</v>
      </c>
      <c r="Q72" s="128">
        <f t="shared" ref="Q72" si="95">Q69-Q71</f>
        <v>432.81666666666661</v>
      </c>
      <c r="R72" s="128">
        <f t="shared" ref="R72" si="96">R69-R71</f>
        <v>410.95595854922271</v>
      </c>
      <c r="S72" s="129">
        <f t="shared" ref="S72" si="97">S69-S71</f>
        <v>1470.6653622772851</v>
      </c>
      <c r="T72" s="1"/>
      <c r="U72" s="127">
        <f>U69-U71</f>
        <v>0</v>
      </c>
      <c r="V72" s="128">
        <f t="shared" ref="V72" si="98">V69-V71</f>
        <v>0</v>
      </c>
      <c r="W72" s="128">
        <f t="shared" ref="W72" si="99">W69-W71</f>
        <v>0</v>
      </c>
      <c r="X72" s="128">
        <f t="shared" ref="X72" si="100">X69-X71</f>
        <v>0</v>
      </c>
      <c r="Y72" s="129">
        <f t="shared" ref="Y72" si="101">Y69-Y71</f>
        <v>0</v>
      </c>
      <c r="Z72" s="1"/>
      <c r="AA72" s="1"/>
      <c r="AB72" s="177">
        <f>S72-G72</f>
        <v>89.665362277285112</v>
      </c>
      <c r="AC72" s="1"/>
      <c r="AD72" s="1"/>
      <c r="AE72" s="1"/>
      <c r="AF72" s="1"/>
      <c r="AG72" s="91">
        <f t="shared" si="88"/>
        <v>0.1157991970529193</v>
      </c>
      <c r="AH72" s="91">
        <f t="shared" si="88"/>
        <v>0.12477927065750327</v>
      </c>
      <c r="AI72" s="91">
        <f t="shared" si="88"/>
        <v>4.545088566827693E-2</v>
      </c>
      <c r="AJ72" s="91">
        <f t="shared" si="88"/>
        <v>7.2449964441734238E-3</v>
      </c>
      <c r="AK72" s="91">
        <f t="shared" si="88"/>
        <v>6.4927851033515616E-2</v>
      </c>
    </row>
    <row r="73" spans="1:37" ht="12" thickBot="1">
      <c r="A73" s="65" t="s">
        <v>85</v>
      </c>
      <c r="B73" s="57"/>
      <c r="C73" s="66">
        <f t="shared" ref="C73" si="102">C72/C68</f>
        <v>9.947140797693417E-2</v>
      </c>
      <c r="D73" s="67">
        <f>D72/D68</f>
        <v>0.15185504745470232</v>
      </c>
      <c r="E73" s="67">
        <f>E72/E68</f>
        <v>0.17409587888982339</v>
      </c>
      <c r="F73" s="67">
        <f>F72/F68</f>
        <v>0.15881666017905799</v>
      </c>
      <c r="G73" s="68">
        <f>G72/G68</f>
        <v>0.14776374919751764</v>
      </c>
      <c r="H73" s="61"/>
      <c r="I73" s="66">
        <f t="shared" ref="I73" si="103">I72/I68</f>
        <v>9.9044309296264121E-2</v>
      </c>
      <c r="J73" s="67">
        <f>J72/J68</f>
        <v>0.12419146183699871</v>
      </c>
      <c r="K73" s="67">
        <f>K72/K68</f>
        <v>0.1943366951124903</v>
      </c>
      <c r="L73" s="67">
        <f>L72/L68</f>
        <v>0.18417213712618527</v>
      </c>
      <c r="M73" s="68">
        <f>M72/M68</f>
        <v>0.1531033095262046</v>
      </c>
      <c r="N73" s="60"/>
      <c r="O73" s="66">
        <f t="shared" ref="O73" si="104">O72/O68</f>
        <v>0.10292800079766234</v>
      </c>
      <c r="P73" s="67">
        <f>P72/P68</f>
        <v>0.15245371708565311</v>
      </c>
      <c r="Q73" s="67">
        <f>Q72/Q68</f>
        <v>0.1725744284954811</v>
      </c>
      <c r="R73" s="67">
        <f>R72/R68</f>
        <v>0.15519484839472156</v>
      </c>
      <c r="S73" s="68">
        <f>S72/S68</f>
        <v>0.14711066942855708</v>
      </c>
      <c r="T73" s="61"/>
      <c r="U73" s="66" t="e">
        <f t="shared" ref="U73" si="105">U72/U68</f>
        <v>#DIV/0!</v>
      </c>
      <c r="V73" s="67" t="e">
        <f>V72/V68</f>
        <v>#DIV/0!</v>
      </c>
      <c r="W73" s="67" t="e">
        <f>W72/W68</f>
        <v>#DIV/0!</v>
      </c>
      <c r="X73" s="67" t="e">
        <f>X72/X68</f>
        <v>#DIV/0!</v>
      </c>
      <c r="Y73" s="68" t="e">
        <f>Y72/Y68</f>
        <v>#DIV/0!</v>
      </c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12" thickBot="1">
      <c r="A74" s="1"/>
      <c r="B74" s="130"/>
      <c r="C74" s="130"/>
      <c r="D74" s="130"/>
      <c r="E74" s="130"/>
      <c r="F74" s="130"/>
      <c r="G74" s="130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>
      <c r="A75" s="178" t="s">
        <v>94</v>
      </c>
      <c r="B75" s="123"/>
      <c r="C75" s="117"/>
      <c r="D75" s="119"/>
      <c r="E75" s="119"/>
      <c r="F75" s="119"/>
      <c r="G75" s="118"/>
      <c r="H75" s="123"/>
      <c r="I75" s="117"/>
      <c r="J75" s="119"/>
      <c r="K75" s="119"/>
      <c r="L75" s="119"/>
      <c r="M75" s="118"/>
      <c r="N75" s="1"/>
      <c r="O75" s="117"/>
      <c r="P75" s="119"/>
      <c r="Q75" s="119"/>
      <c r="R75" s="119"/>
      <c r="S75" s="118"/>
      <c r="T75" s="123"/>
      <c r="U75" s="117"/>
      <c r="V75" s="119"/>
      <c r="W75" s="119"/>
      <c r="X75" s="119"/>
      <c r="Y75" s="118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>
      <c r="A76" s="77" t="s">
        <v>84</v>
      </c>
      <c r="B76" s="126"/>
      <c r="C76" s="127">
        <f>C27-C68</f>
        <v>0</v>
      </c>
      <c r="D76" s="128">
        <f t="shared" ref="D76:G80" si="106">D27-D68</f>
        <v>0</v>
      </c>
      <c r="E76" s="128">
        <f t="shared" si="106"/>
        <v>0</v>
      </c>
      <c r="F76" s="128">
        <f t="shared" si="106"/>
        <v>0</v>
      </c>
      <c r="G76" s="129">
        <f t="shared" si="106"/>
        <v>0</v>
      </c>
      <c r="H76" s="1"/>
      <c r="I76" s="127">
        <f>I27-I68</f>
        <v>0</v>
      </c>
      <c r="J76" s="128">
        <f t="shared" ref="J76:M76" si="107">J27-J68</f>
        <v>0</v>
      </c>
      <c r="K76" s="128">
        <f t="shared" si="107"/>
        <v>0</v>
      </c>
      <c r="L76" s="128">
        <f t="shared" si="107"/>
        <v>0</v>
      </c>
      <c r="M76" s="129">
        <f t="shared" si="107"/>
        <v>0</v>
      </c>
      <c r="N76" s="1"/>
      <c r="O76" s="127">
        <f>O27-O68</f>
        <v>0</v>
      </c>
      <c r="P76" s="128">
        <f t="shared" ref="P76:S76" si="108">P27-P68</f>
        <v>0</v>
      </c>
      <c r="Q76" s="128">
        <f t="shared" si="108"/>
        <v>0</v>
      </c>
      <c r="R76" s="128">
        <f t="shared" si="108"/>
        <v>0</v>
      </c>
      <c r="S76" s="129">
        <f t="shared" si="108"/>
        <v>0</v>
      </c>
      <c r="T76" s="1"/>
      <c r="U76" s="127">
        <f>U27-U68</f>
        <v>0</v>
      </c>
      <c r="V76" s="128">
        <f t="shared" ref="V76:Y76" si="109">V27-V68</f>
        <v>0</v>
      </c>
      <c r="W76" s="128">
        <f t="shared" si="109"/>
        <v>0</v>
      </c>
      <c r="X76" s="128">
        <f t="shared" si="109"/>
        <v>0</v>
      </c>
      <c r="Y76" s="129">
        <f t="shared" si="109"/>
        <v>0</v>
      </c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>
      <c r="A77" s="52" t="s">
        <v>15</v>
      </c>
      <c r="B77" s="123"/>
      <c r="C77" s="124">
        <f>C28-C69</f>
        <v>0</v>
      </c>
      <c r="D77" s="123">
        <f t="shared" si="106"/>
        <v>0</v>
      </c>
      <c r="E77" s="123">
        <f t="shared" si="106"/>
        <v>0</v>
      </c>
      <c r="F77" s="123">
        <f t="shared" si="106"/>
        <v>0</v>
      </c>
      <c r="G77" s="125">
        <f t="shared" si="106"/>
        <v>0</v>
      </c>
      <c r="H77" s="1"/>
      <c r="I77" s="124">
        <f>I28-I69</f>
        <v>0</v>
      </c>
      <c r="J77" s="123">
        <f t="shared" ref="J77:M77" si="110">J28-J69</f>
        <v>0</v>
      </c>
      <c r="K77" s="123">
        <f t="shared" si="110"/>
        <v>0</v>
      </c>
      <c r="L77" s="123">
        <f t="shared" si="110"/>
        <v>0</v>
      </c>
      <c r="M77" s="125">
        <f t="shared" si="110"/>
        <v>0</v>
      </c>
      <c r="N77" s="1"/>
      <c r="O77" s="124">
        <f>O28-O69</f>
        <v>0</v>
      </c>
      <c r="P77" s="123">
        <f t="shared" ref="P77:S77" si="111">P28-P69</f>
        <v>0</v>
      </c>
      <c r="Q77" s="123">
        <f t="shared" si="111"/>
        <v>0</v>
      </c>
      <c r="R77" s="123">
        <f t="shared" si="111"/>
        <v>0</v>
      </c>
      <c r="S77" s="125">
        <f t="shared" si="111"/>
        <v>0</v>
      </c>
      <c r="T77" s="1"/>
      <c r="U77" s="124">
        <f>U28-U69</f>
        <v>0</v>
      </c>
      <c r="V77" s="123">
        <f t="shared" ref="V77:Y77" si="112">V28-V69</f>
        <v>0</v>
      </c>
      <c r="W77" s="123">
        <f t="shared" si="112"/>
        <v>0</v>
      </c>
      <c r="X77" s="123">
        <f t="shared" si="112"/>
        <v>0</v>
      </c>
      <c r="Y77" s="125">
        <f t="shared" si="112"/>
        <v>0</v>
      </c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>
      <c r="A78" s="54" t="s">
        <v>85</v>
      </c>
      <c r="B78" s="64"/>
      <c r="C78" s="58"/>
      <c r="D78" s="72"/>
      <c r="E78" s="72"/>
      <c r="F78" s="72"/>
      <c r="G78" s="59"/>
      <c r="H78" s="61"/>
      <c r="I78" s="58"/>
      <c r="J78" s="72"/>
      <c r="K78" s="72"/>
      <c r="L78" s="72"/>
      <c r="M78" s="59"/>
      <c r="N78" s="60"/>
      <c r="O78" s="58"/>
      <c r="P78" s="72"/>
      <c r="Q78" s="72"/>
      <c r="R78" s="72"/>
      <c r="S78" s="59"/>
      <c r="T78" s="61"/>
      <c r="U78" s="58"/>
      <c r="V78" s="72"/>
      <c r="W78" s="72"/>
      <c r="X78" s="72"/>
      <c r="Y78" s="59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>
      <c r="A79" s="52" t="s">
        <v>21</v>
      </c>
      <c r="B79" s="123"/>
      <c r="C79" s="124">
        <f>C30-C71</f>
        <v>0</v>
      </c>
      <c r="D79" s="123">
        <f t="shared" si="106"/>
        <v>0</v>
      </c>
      <c r="E79" s="123">
        <f t="shared" si="106"/>
        <v>0</v>
      </c>
      <c r="F79" s="123">
        <f t="shared" si="106"/>
        <v>0</v>
      </c>
      <c r="G79" s="125">
        <f t="shared" si="106"/>
        <v>0</v>
      </c>
      <c r="H79" s="1"/>
      <c r="I79" s="124">
        <f>I30-I71</f>
        <v>0</v>
      </c>
      <c r="J79" s="123">
        <f t="shared" ref="J79:M79" si="113">J30-J71</f>
        <v>0</v>
      </c>
      <c r="K79" s="123">
        <f t="shared" si="113"/>
        <v>0</v>
      </c>
      <c r="L79" s="123">
        <f t="shared" si="113"/>
        <v>0</v>
      </c>
      <c r="M79" s="125">
        <f t="shared" si="113"/>
        <v>0</v>
      </c>
      <c r="N79" s="1"/>
      <c r="O79" s="124">
        <f>O30-O71</f>
        <v>-2.9566210045686603E-2</v>
      </c>
      <c r="P79" s="123">
        <f t="shared" ref="P79:S79" si="114">P30-P71</f>
        <v>-7.769672855886256E-2</v>
      </c>
      <c r="Q79" s="123">
        <f t="shared" si="114"/>
        <v>-0.18333333333339397</v>
      </c>
      <c r="R79" s="123">
        <f t="shared" si="114"/>
        <v>-4.4041450777285718E-2</v>
      </c>
      <c r="S79" s="125">
        <f t="shared" si="114"/>
        <v>-0.33463772271488779</v>
      </c>
      <c r="T79" s="1"/>
      <c r="U79" s="124">
        <f>U30-U71</f>
        <v>0</v>
      </c>
      <c r="V79" s="123">
        <f t="shared" ref="V79:Y79" si="115">V30-V71</f>
        <v>0</v>
      </c>
      <c r="W79" s="123">
        <f t="shared" si="115"/>
        <v>0</v>
      </c>
      <c r="X79" s="123">
        <f t="shared" si="115"/>
        <v>0</v>
      </c>
      <c r="Y79" s="125">
        <f t="shared" si="115"/>
        <v>0</v>
      </c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>
      <c r="A80" s="77" t="s">
        <v>86</v>
      </c>
      <c r="B80" s="123"/>
      <c r="C80" s="127">
        <f>C31-C72</f>
        <v>0</v>
      </c>
      <c r="D80" s="128">
        <f t="shared" si="106"/>
        <v>0</v>
      </c>
      <c r="E80" s="128">
        <f t="shared" si="106"/>
        <v>0</v>
      </c>
      <c r="F80" s="128">
        <f t="shared" si="106"/>
        <v>0</v>
      </c>
      <c r="G80" s="129">
        <f t="shared" si="106"/>
        <v>0</v>
      </c>
      <c r="H80" s="1"/>
      <c r="I80" s="127">
        <f>I31-I72</f>
        <v>0</v>
      </c>
      <c r="J80" s="128">
        <f t="shared" ref="J80:M80" si="116">J31-J72</f>
        <v>0</v>
      </c>
      <c r="K80" s="128">
        <f t="shared" si="116"/>
        <v>0</v>
      </c>
      <c r="L80" s="128">
        <f t="shared" si="116"/>
        <v>0</v>
      </c>
      <c r="M80" s="129">
        <f t="shared" si="116"/>
        <v>0</v>
      </c>
      <c r="N80" s="1"/>
      <c r="O80" s="127">
        <f>O31-O72</f>
        <v>2.9566210045686603E-2</v>
      </c>
      <c r="P80" s="128">
        <f t="shared" ref="P80:S80" si="117">P31-P72</f>
        <v>7.769672855886256E-2</v>
      </c>
      <c r="Q80" s="128">
        <f t="shared" si="117"/>
        <v>0.18333333333339397</v>
      </c>
      <c r="R80" s="128">
        <f t="shared" si="117"/>
        <v>4.4041450777285718E-2</v>
      </c>
      <c r="S80" s="129">
        <f t="shared" si="117"/>
        <v>0.33463772271488779</v>
      </c>
      <c r="T80" s="1"/>
      <c r="U80" s="127">
        <f>U31-U72</f>
        <v>0</v>
      </c>
      <c r="V80" s="128">
        <f t="shared" ref="V80:Y80" si="118">V31-V72</f>
        <v>0</v>
      </c>
      <c r="W80" s="128">
        <f t="shared" si="118"/>
        <v>0</v>
      </c>
      <c r="X80" s="128">
        <f t="shared" si="118"/>
        <v>0</v>
      </c>
      <c r="Y80" s="129">
        <f t="shared" si="118"/>
        <v>0</v>
      </c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2" thickBot="1">
      <c r="A81" s="65" t="s">
        <v>85</v>
      </c>
      <c r="B81" s="57"/>
      <c r="C81" s="66"/>
      <c r="D81" s="67"/>
      <c r="E81" s="67"/>
      <c r="F81" s="67"/>
      <c r="G81" s="68"/>
      <c r="H81" s="61"/>
      <c r="I81" s="66"/>
      <c r="J81" s="67"/>
      <c r="K81" s="67"/>
      <c r="L81" s="67"/>
      <c r="M81" s="68"/>
      <c r="N81" s="60"/>
      <c r="O81" s="66"/>
      <c r="P81" s="67"/>
      <c r="Q81" s="67"/>
      <c r="R81" s="67"/>
      <c r="S81" s="68"/>
      <c r="T81" s="61"/>
      <c r="U81" s="66"/>
      <c r="V81" s="67"/>
      <c r="W81" s="67"/>
      <c r="X81" s="67"/>
      <c r="Y81" s="68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>
      <c r="A82" s="1"/>
      <c r="B82" s="130"/>
      <c r="C82" s="130"/>
      <c r="D82" s="130"/>
      <c r="E82" s="130"/>
      <c r="F82" s="130"/>
      <c r="G82" s="130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>
      <c r="A83" s="149" t="s">
        <v>95</v>
      </c>
      <c r="B83" s="1"/>
      <c r="C83" s="86" t="s">
        <v>96</v>
      </c>
      <c r="D83" s="94"/>
      <c r="E83" s="94"/>
      <c r="F83" s="94"/>
      <c r="G83" s="152" t="s">
        <v>97</v>
      </c>
      <c r="H83" s="1"/>
      <c r="I83" s="86" t="s">
        <v>96</v>
      </c>
      <c r="J83" s="86"/>
      <c r="K83" s="86"/>
      <c r="L83" s="86"/>
      <c r="M83" s="86" t="s">
        <v>97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>
      <c r="A84" s="252" t="s">
        <v>98</v>
      </c>
      <c r="B84" s="1"/>
      <c r="C84" s="156">
        <v>9.74</v>
      </c>
      <c r="D84" s="157">
        <v>9.7200000000000006</v>
      </c>
      <c r="E84" s="157">
        <v>9.85</v>
      </c>
      <c r="F84" s="158">
        <v>10.09</v>
      </c>
      <c r="G84" s="155">
        <f>AVERAGE(C84:F84)</f>
        <v>9.8500000000000014</v>
      </c>
      <c r="H84" s="1"/>
      <c r="I84" s="156">
        <v>10.46</v>
      </c>
      <c r="J84" s="157">
        <v>11.02</v>
      </c>
      <c r="K84" s="157">
        <v>10.67</v>
      </c>
      <c r="L84" s="158">
        <v>10.76</v>
      </c>
      <c r="M84" s="155">
        <v>10.73</v>
      </c>
      <c r="N84" s="1"/>
      <c r="O84" s="9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91">
        <f t="shared" ref="AG84:AK85" si="119">I84/C84-1</f>
        <v>7.3921971252566721E-2</v>
      </c>
      <c r="AH84" s="91">
        <f t="shared" si="119"/>
        <v>0.13374485596707797</v>
      </c>
      <c r="AI84" s="91">
        <f t="shared" si="119"/>
        <v>8.3248730964466944E-2</v>
      </c>
      <c r="AJ84" s="91">
        <f t="shared" si="119"/>
        <v>6.6402378592665956E-2</v>
      </c>
      <c r="AK84" s="91">
        <f t="shared" si="119"/>
        <v>8.9340101522842552E-2</v>
      </c>
    </row>
    <row r="85" spans="1:37">
      <c r="A85" s="241" t="s">
        <v>99</v>
      </c>
      <c r="B85" s="1"/>
      <c r="C85" s="249">
        <v>8.59</v>
      </c>
      <c r="D85" s="250">
        <v>8.65</v>
      </c>
      <c r="E85" s="250">
        <v>8.86</v>
      </c>
      <c r="F85" s="251">
        <v>9.11</v>
      </c>
      <c r="G85" s="242">
        <f>AVERAGE(C85:F85)</f>
        <v>8.8025000000000002</v>
      </c>
      <c r="H85" s="1"/>
      <c r="I85" s="249">
        <v>9.49</v>
      </c>
      <c r="J85" s="250">
        <v>10.02</v>
      </c>
      <c r="K85" s="250">
        <v>9.1300000000000008</v>
      </c>
      <c r="L85" s="251">
        <v>9.02</v>
      </c>
      <c r="M85" s="242">
        <v>9.41</v>
      </c>
      <c r="N85" s="1"/>
      <c r="O85" s="9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91">
        <f t="shared" si="119"/>
        <v>0.10477299185098965</v>
      </c>
      <c r="AH85" s="91">
        <f t="shared" si="119"/>
        <v>0.15838150289017339</v>
      </c>
      <c r="AI85" s="91">
        <f t="shared" si="119"/>
        <v>3.0474040632054278E-2</v>
      </c>
      <c r="AJ85" s="91">
        <f t="shared" si="119"/>
        <v>-9.8792535675081838E-3</v>
      </c>
      <c r="AK85" s="91">
        <f t="shared" si="119"/>
        <v>6.9014484521442654E-2</v>
      </c>
    </row>
    <row r="86" spans="1:37" ht="5.25" customHeight="1">
      <c r="A86" s="1"/>
      <c r="B86" s="1"/>
      <c r="C86" s="130"/>
      <c r="D86" s="130"/>
      <c r="E86" s="130"/>
      <c r="F86" s="130"/>
      <c r="G86" s="130"/>
      <c r="H86" s="1"/>
      <c r="I86" s="130"/>
      <c r="J86" s="130"/>
      <c r="K86" s="130"/>
      <c r="L86" s="130"/>
      <c r="M86" s="130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1.25" customHeight="1">
      <c r="A87" s="1" t="s">
        <v>87</v>
      </c>
      <c r="B87" s="1"/>
      <c r="C87" s="130"/>
      <c r="D87" s="130"/>
      <c r="E87" s="130"/>
      <c r="F87" s="130"/>
      <c r="G87" s="130"/>
      <c r="H87" s="1"/>
      <c r="I87" s="130"/>
      <c r="J87" s="130"/>
      <c r="K87" s="130"/>
      <c r="L87" s="130"/>
      <c r="M87" s="130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>
      <c r="A88" s="1" t="s">
        <v>100</v>
      </c>
      <c r="B88" s="1"/>
      <c r="C88" s="1">
        <v>1464</v>
      </c>
      <c r="D88" s="1">
        <v>1345</v>
      </c>
      <c r="E88" s="1">
        <v>1430</v>
      </c>
      <c r="F88" s="1">
        <v>1458</v>
      </c>
      <c r="G88" s="1"/>
      <c r="H88" s="1"/>
      <c r="I88" s="1">
        <v>1915</v>
      </c>
      <c r="J88" s="1">
        <v>1746</v>
      </c>
      <c r="K88" s="1">
        <v>1557</v>
      </c>
      <c r="L88" s="1">
        <v>1470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>
      <c r="A89" s="1" t="s">
        <v>101</v>
      </c>
      <c r="B89" s="1"/>
      <c r="C89" s="1">
        <v>1104</v>
      </c>
      <c r="D89" s="1">
        <v>1111</v>
      </c>
      <c r="E89" s="1">
        <v>1224</v>
      </c>
      <c r="F89" s="1">
        <v>1332</v>
      </c>
      <c r="G89" s="1"/>
      <c r="H89" s="2"/>
      <c r="I89" s="1">
        <v>1591</v>
      </c>
      <c r="J89" s="1">
        <v>1095</v>
      </c>
      <c r="K89" s="1">
        <v>1102</v>
      </c>
      <c r="L89" s="1">
        <v>1229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>
      <c r="A90" s="1" t="s">
        <v>14</v>
      </c>
      <c r="B90" s="1"/>
      <c r="C90" s="1">
        <v>1039</v>
      </c>
      <c r="D90" s="1">
        <v>1230</v>
      </c>
      <c r="E90" s="1">
        <v>1140</v>
      </c>
      <c r="F90" s="1">
        <v>1304</v>
      </c>
      <c r="G90" s="1"/>
      <c r="H90" s="15"/>
      <c r="I90" s="1">
        <v>1134</v>
      </c>
      <c r="J90" s="1">
        <v>1264</v>
      </c>
      <c r="K90" s="1">
        <v>1291</v>
      </c>
      <c r="L90" s="1">
        <v>1316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5.25" customHeight="1">
      <c r="A91" s="1"/>
      <c r="B91" s="1"/>
      <c r="C91" s="1"/>
      <c r="D91" s="1"/>
      <c r="E91" s="1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>
      <c r="A92" s="1"/>
      <c r="B92" s="1"/>
      <c r="C92" s="80"/>
      <c r="D92" s="80"/>
      <c r="E92" s="80"/>
      <c r="F92" s="80"/>
      <c r="G92" s="80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>
      <c r="A93" s="1"/>
      <c r="B93" s="130"/>
      <c r="C93" s="130"/>
      <c r="D93" s="130"/>
      <c r="E93" s="130"/>
      <c r="F93" s="130"/>
      <c r="G93" s="130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>
      <c r="A94" s="1"/>
      <c r="B94" s="1"/>
      <c r="C94" s="80"/>
      <c r="D94" s="80"/>
      <c r="E94" s="80"/>
      <c r="F94" s="80"/>
      <c r="G94" s="80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>
      <c r="A95" s="1"/>
      <c r="B95" s="1"/>
      <c r="C95" s="80"/>
      <c r="D95" s="80"/>
      <c r="E95" s="80"/>
      <c r="F95" s="80"/>
      <c r="G95" s="80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>
      <c r="A96" s="1"/>
      <c r="B96" s="1"/>
      <c r="C96" s="80"/>
      <c r="D96" s="80"/>
      <c r="E96" s="80"/>
      <c r="F96" s="80"/>
      <c r="G96" s="80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13">
      <c r="A97" s="1"/>
      <c r="B97" s="1"/>
      <c r="C97" s="80"/>
      <c r="D97" s="80"/>
      <c r="E97" s="80"/>
      <c r="F97" s="80"/>
      <c r="G97" s="80"/>
      <c r="H97" s="1"/>
      <c r="I97" s="1"/>
      <c r="J97" s="1"/>
      <c r="K97" s="1"/>
      <c r="L97" s="1"/>
      <c r="M97" s="1"/>
    </row>
    <row r="98" spans="1:13">
      <c r="A98" s="1"/>
      <c r="B98" s="1"/>
      <c r="C98" s="80"/>
      <c r="D98" s="80"/>
      <c r="E98" s="80"/>
      <c r="F98" s="80"/>
      <c r="G98" s="80"/>
      <c r="H98" s="1"/>
      <c r="I98" s="1"/>
      <c r="J98" s="1"/>
      <c r="K98" s="1"/>
      <c r="L98" s="1"/>
      <c r="M98" s="1"/>
    </row>
    <row r="99" spans="1:13">
      <c r="A99" s="1"/>
      <c r="B99" s="1"/>
      <c r="C99" s="80"/>
      <c r="D99" s="80"/>
      <c r="E99" s="80"/>
      <c r="F99" s="80"/>
      <c r="G99" s="80"/>
      <c r="H99" s="1"/>
      <c r="I99" s="1"/>
      <c r="J99" s="1"/>
      <c r="K99" s="1"/>
      <c r="L99" s="1"/>
      <c r="M99" s="1"/>
    </row>
    <row r="100" spans="1:13">
      <c r="A100" s="1"/>
      <c r="B100" s="1"/>
      <c r="C100" s="80"/>
      <c r="D100" s="80"/>
      <c r="E100" s="80"/>
      <c r="F100" s="80"/>
      <c r="G100" s="80"/>
      <c r="H100" s="1"/>
      <c r="I100" s="1"/>
      <c r="J100" s="1"/>
      <c r="K100" s="1"/>
      <c r="L100" s="1"/>
      <c r="M100" s="1"/>
    </row>
    <row r="101" spans="1:13">
      <c r="A101" s="1"/>
      <c r="B101" s="1"/>
      <c r="C101" s="80"/>
      <c r="D101" s="80"/>
      <c r="E101" s="80"/>
      <c r="F101" s="80"/>
      <c r="G101" s="80"/>
      <c r="H101" s="1"/>
      <c r="I101" s="1"/>
      <c r="J101" s="1"/>
      <c r="K101" s="1"/>
      <c r="L101" s="1"/>
      <c r="M101" s="1"/>
    </row>
    <row r="102" spans="1:13">
      <c r="A102" s="1"/>
      <c r="B102" s="1"/>
      <c r="C102" s="80"/>
      <c r="D102" s="80"/>
      <c r="E102" s="80"/>
      <c r="F102" s="80"/>
      <c r="G102" s="80"/>
      <c r="H102" s="1"/>
      <c r="I102" s="1"/>
      <c r="J102" s="1"/>
      <c r="K102" s="1"/>
      <c r="L102" s="1"/>
      <c r="M102" s="1"/>
    </row>
    <row r="103" spans="1:13">
      <c r="A103" s="1"/>
      <c r="B103" s="1"/>
      <c r="C103" s="80"/>
      <c r="D103" s="80"/>
      <c r="E103" s="80"/>
      <c r="F103" s="80"/>
      <c r="G103" s="80"/>
      <c r="H103" s="1"/>
      <c r="I103" s="1"/>
      <c r="J103" s="1"/>
      <c r="K103" s="1"/>
      <c r="L103" s="1"/>
      <c r="M103" s="1"/>
    </row>
    <row r="104" spans="1:13">
      <c r="A104" s="1"/>
      <c r="B104" s="1"/>
      <c r="C104" s="80"/>
      <c r="D104" s="80"/>
      <c r="E104" s="80"/>
      <c r="F104" s="80"/>
      <c r="G104" s="80"/>
      <c r="H104" s="1"/>
      <c r="I104" s="1"/>
      <c r="J104" s="1"/>
      <c r="K104" s="1"/>
      <c r="L104" s="1"/>
      <c r="M104" s="1"/>
    </row>
    <row r="105" spans="1:13">
      <c r="A105" s="1"/>
      <c r="B105" s="1"/>
      <c r="C105" s="80"/>
      <c r="D105" s="80"/>
      <c r="E105" s="80"/>
      <c r="F105" s="80"/>
      <c r="G105" s="80"/>
      <c r="H105" s="1"/>
      <c r="I105" s="1"/>
      <c r="J105" s="1"/>
      <c r="K105" s="1"/>
      <c r="L105" s="1"/>
      <c r="M105" s="1"/>
    </row>
    <row r="106" spans="1: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</sheetData>
  <pageMargins left="0.15748031496062992" right="0.15748031496062992" top="0.39370078740157483" bottom="0.31496062992125984" header="0.51181102362204722" footer="0.15748031496062992"/>
  <pageSetup paperSize="8" scale="84" orientation="landscape" r:id="rId1"/>
  <headerFooter alignWithMargins="0">
    <oddFooter>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32C6-03AE-4178-9CEC-2E23B669C9BE}">
  <sheetPr>
    <tabColor rgb="FF00B0F0"/>
    <pageSetUpPr fitToPage="1"/>
  </sheetPr>
  <dimension ref="A1:Y150"/>
  <sheetViews>
    <sheetView showGridLines="0" tabSelected="1" zoomScaleNormal="100" zoomScaleSheetLayoutView="100" workbookViewId="0">
      <pane xSplit="2" ySplit="3" topLeftCell="C4" activePane="bottomRight" state="frozen"/>
      <selection pane="bottomRight" activeCell="AA40" sqref="AA40"/>
      <selection pane="bottomLeft" activeCell="A4" sqref="A4"/>
      <selection pane="topRight" activeCell="C1" sqref="C1"/>
    </sheetView>
  </sheetViews>
  <sheetFormatPr defaultColWidth="9.140625" defaultRowHeight="11.25"/>
  <cols>
    <col min="1" max="1" width="23.42578125" style="29" customWidth="1"/>
    <col min="2" max="2" width="1" style="28" customWidth="1"/>
    <col min="3" max="7" width="7" style="29" customWidth="1"/>
    <col min="8" max="8" width="1" style="29" customWidth="1"/>
    <col min="9" max="13" width="7" style="29" customWidth="1"/>
    <col min="14" max="14" width="1" style="29" customWidth="1"/>
    <col min="15" max="19" width="7" style="29" customWidth="1"/>
    <col min="20" max="20" width="1" style="29" customWidth="1"/>
    <col min="21" max="24" width="7" style="29" customWidth="1"/>
    <col min="25" max="25" width="7.85546875" style="29" bestFit="1" customWidth="1"/>
    <col min="26" max="16384" width="9.140625" style="29"/>
  </cols>
  <sheetData>
    <row r="1" spans="1:25" ht="16.5" thickBot="1">
      <c r="A1" s="27" t="s">
        <v>102</v>
      </c>
      <c r="B1" s="95"/>
      <c r="C1" s="33">
        <v>2019</v>
      </c>
      <c r="D1" s="32"/>
      <c r="E1" s="32"/>
      <c r="F1" s="32"/>
      <c r="G1" s="32"/>
      <c r="H1" s="1"/>
      <c r="I1" s="33">
        <v>2020</v>
      </c>
      <c r="J1" s="33"/>
      <c r="K1" s="33"/>
      <c r="L1" s="33"/>
      <c r="M1" s="33"/>
      <c r="N1" s="1"/>
      <c r="O1" s="30">
        <v>2021</v>
      </c>
      <c r="P1" s="31"/>
      <c r="Q1" s="31"/>
      <c r="R1" s="31"/>
      <c r="S1" s="32"/>
      <c r="T1" s="1"/>
      <c r="U1" s="30">
        <v>2022</v>
      </c>
      <c r="V1" s="31"/>
      <c r="W1" s="31"/>
      <c r="X1" s="31"/>
      <c r="Y1" s="32"/>
    </row>
    <row r="2" spans="1:25" ht="12" thickBot="1">
      <c r="A2" s="35" t="s">
        <v>81</v>
      </c>
      <c r="B2" s="36"/>
      <c r="C2" s="40" t="s">
        <v>42</v>
      </c>
      <c r="D2" s="41" t="s">
        <v>43</v>
      </c>
      <c r="E2" s="41" t="s">
        <v>44</v>
      </c>
      <c r="F2" s="41" t="s">
        <v>45</v>
      </c>
      <c r="G2" s="42" t="s">
        <v>82</v>
      </c>
      <c r="H2" s="1"/>
      <c r="I2" s="40" t="s">
        <v>46</v>
      </c>
      <c r="J2" s="41" t="s">
        <v>47</v>
      </c>
      <c r="K2" s="41" t="s">
        <v>48</v>
      </c>
      <c r="L2" s="41" t="s">
        <v>49</v>
      </c>
      <c r="M2" s="42" t="s">
        <v>82</v>
      </c>
      <c r="N2" s="1"/>
      <c r="O2" s="40" t="s">
        <v>50</v>
      </c>
      <c r="P2" s="41" t="s">
        <v>51</v>
      </c>
      <c r="Q2" s="41" t="s">
        <v>52</v>
      </c>
      <c r="R2" s="41" t="s">
        <v>1</v>
      </c>
      <c r="S2" s="42" t="s">
        <v>82</v>
      </c>
      <c r="T2" s="1"/>
      <c r="U2" s="40" t="s">
        <v>53</v>
      </c>
      <c r="V2" s="41" t="s">
        <v>54</v>
      </c>
      <c r="W2" s="41" t="s">
        <v>55</v>
      </c>
      <c r="X2" s="41" t="s">
        <v>56</v>
      </c>
      <c r="Y2" s="42" t="s">
        <v>82</v>
      </c>
    </row>
    <row r="3" spans="1:25" ht="5.25" customHeight="1">
      <c r="A3" s="52"/>
      <c r="B3" s="95"/>
      <c r="C3" s="97"/>
      <c r="D3" s="99"/>
      <c r="E3" s="99"/>
      <c r="F3" s="99"/>
      <c r="G3" s="98"/>
      <c r="H3" s="1"/>
      <c r="I3" s="97"/>
      <c r="J3" s="99"/>
      <c r="K3" s="99"/>
      <c r="L3" s="99"/>
      <c r="M3" s="98"/>
      <c r="N3" s="1"/>
      <c r="O3" s="97"/>
      <c r="P3" s="99"/>
      <c r="Q3" s="99"/>
      <c r="R3" s="99"/>
      <c r="S3" s="98"/>
      <c r="T3" s="1"/>
      <c r="U3" s="97"/>
      <c r="V3" s="99"/>
      <c r="W3" s="99"/>
      <c r="X3" s="99"/>
      <c r="Y3" s="98"/>
    </row>
    <row r="4" spans="1:25" s="55" customFormat="1" ht="12" customHeight="1">
      <c r="A4" s="100" t="s">
        <v>103</v>
      </c>
      <c r="B4" s="101"/>
      <c r="C4" s="255">
        <v>2080.5</v>
      </c>
      <c r="D4" s="256">
        <v>2318.6999999999998</v>
      </c>
      <c r="E4" s="256">
        <v>2378.1999999999998</v>
      </c>
      <c r="F4" s="256">
        <v>2568.8999999999996</v>
      </c>
      <c r="G4" s="257">
        <v>9346.2999999999993</v>
      </c>
      <c r="H4" s="258"/>
      <c r="I4" s="255">
        <v>2302</v>
      </c>
      <c r="J4" s="256">
        <v>2319.1999999999998</v>
      </c>
      <c r="K4" s="256">
        <v>2578.1999999999998</v>
      </c>
      <c r="L4" s="256">
        <v>2741.8999999999996</v>
      </c>
      <c r="M4" s="257">
        <v>9941.2999999999993</v>
      </c>
      <c r="N4" s="258"/>
      <c r="O4" s="255">
        <v>2290.5</v>
      </c>
      <c r="P4" s="256">
        <v>2685.7</v>
      </c>
      <c r="Q4" s="256">
        <v>2882.8</v>
      </c>
      <c r="R4" s="256">
        <v>3049.7000000000007</v>
      </c>
      <c r="S4" s="257">
        <v>10908.7</v>
      </c>
      <c r="T4" s="258"/>
      <c r="U4" s="255">
        <v>2500.5108180000002</v>
      </c>
      <c r="V4" s="256">
        <v>3054.4418380000002</v>
      </c>
      <c r="W4" s="256">
        <v>3156.2950129999995</v>
      </c>
      <c r="X4" s="256">
        <v>3476.775783</v>
      </c>
      <c r="Y4" s="259">
        <v>12188.023452000001</v>
      </c>
    </row>
    <row r="5" spans="1:25">
      <c r="A5" s="54" t="s">
        <v>104</v>
      </c>
      <c r="B5" s="43"/>
      <c r="C5" s="44">
        <v>0.18601071713601636</v>
      </c>
      <c r="D5" s="70">
        <v>8.9870740305522778E-2</v>
      </c>
      <c r="E5" s="70">
        <v>5.8436067470737374E-2</v>
      </c>
      <c r="F5" s="70">
        <v>4.1220817120621644E-2</v>
      </c>
      <c r="G5" s="45">
        <v>8.7310081667790973E-2</v>
      </c>
      <c r="H5" s="96"/>
      <c r="I5" s="44">
        <v>0.10646479211727944</v>
      </c>
      <c r="J5" s="70">
        <v>2.1563807305824412E-4</v>
      </c>
      <c r="K5" s="70">
        <v>8.4097216382137852E-2</v>
      </c>
      <c r="L5" s="70">
        <v>6.7343999377165398E-2</v>
      </c>
      <c r="M5" s="45">
        <v>6.3661555909825251E-2</v>
      </c>
      <c r="N5" s="1"/>
      <c r="O5" s="44">
        <v>-4.9956559513466559E-3</v>
      </c>
      <c r="P5" s="70">
        <v>0.15802863056226291</v>
      </c>
      <c r="Q5" s="70">
        <v>0.11814444185866124</v>
      </c>
      <c r="R5" s="70">
        <v>0.1122579233378318</v>
      </c>
      <c r="S5" s="45">
        <v>9.7311216842867809E-2</v>
      </c>
      <c r="T5" s="1"/>
      <c r="U5" s="44">
        <v>9.168776162409964E-2</v>
      </c>
      <c r="V5" s="70">
        <v>0.13729822318203833</v>
      </c>
      <c r="W5" s="70">
        <v>9.4871310184542645E-2</v>
      </c>
      <c r="X5" s="70">
        <v>0.14003862117585308</v>
      </c>
      <c r="Y5" s="45">
        <v>0.11727551880609055</v>
      </c>
    </row>
    <row r="6" spans="1:25" ht="5.25" customHeight="1">
      <c r="A6" s="53"/>
      <c r="B6" s="105"/>
      <c r="C6" s="106"/>
      <c r="D6" s="105"/>
      <c r="E6" s="105"/>
      <c r="F6" s="105"/>
      <c r="G6" s="108"/>
      <c r="H6" s="96"/>
      <c r="I6" s="106"/>
      <c r="J6" s="105"/>
      <c r="K6" s="105"/>
      <c r="L6" s="105"/>
      <c r="M6" s="108"/>
      <c r="N6" s="1"/>
      <c r="O6" s="106"/>
      <c r="P6" s="105"/>
      <c r="Q6" s="105"/>
      <c r="R6" s="105"/>
      <c r="S6" s="108"/>
      <c r="T6" s="1"/>
      <c r="U6" s="106"/>
      <c r="V6" s="105"/>
      <c r="W6" s="105"/>
      <c r="X6" s="105"/>
      <c r="Y6" s="108"/>
    </row>
    <row r="7" spans="1:25" s="55" customFormat="1" ht="11.25" customHeight="1">
      <c r="A7" s="109" t="s">
        <v>105</v>
      </c>
      <c r="B7" s="101"/>
      <c r="C7" s="110">
        <v>1207</v>
      </c>
      <c r="D7" s="101">
        <v>1277.3000000000002</v>
      </c>
      <c r="E7" s="101">
        <v>1316.1</v>
      </c>
      <c r="F7" s="101">
        <v>1460.7000000000003</v>
      </c>
      <c r="G7" s="81">
        <v>5261.1</v>
      </c>
      <c r="H7" s="56"/>
      <c r="I7" s="110">
        <v>1328.8</v>
      </c>
      <c r="J7" s="101">
        <v>1324.3</v>
      </c>
      <c r="K7" s="101">
        <v>1401</v>
      </c>
      <c r="L7" s="101">
        <v>1520.5000000000002</v>
      </c>
      <c r="M7" s="81">
        <v>5574.6</v>
      </c>
      <c r="N7" s="56"/>
      <c r="O7" s="110">
        <v>1317.2</v>
      </c>
      <c r="P7" s="101">
        <v>1474.8</v>
      </c>
      <c r="Q7" s="101">
        <v>1606.6000000000001</v>
      </c>
      <c r="R7" s="101">
        <v>1721.1000000000001</v>
      </c>
      <c r="S7" s="81">
        <v>6119.7000000000007</v>
      </c>
      <c r="T7" s="56"/>
      <c r="U7" s="110">
        <v>1504.2112680000002</v>
      </c>
      <c r="V7" s="101">
        <v>1775.7443990000002</v>
      </c>
      <c r="W7" s="101">
        <v>1854.0950889999995</v>
      </c>
      <c r="X7" s="101">
        <v>2001.4034510000001</v>
      </c>
      <c r="Y7" s="247">
        <v>7135.4542069999998</v>
      </c>
    </row>
    <row r="8" spans="1:25" s="55" customFormat="1" ht="5.0999999999999996" customHeight="1">
      <c r="A8" s="109"/>
      <c r="B8" s="101"/>
      <c r="C8" s="110"/>
      <c r="D8" s="101"/>
      <c r="E8" s="101"/>
      <c r="F8" s="101"/>
      <c r="G8" s="81"/>
      <c r="H8" s="56"/>
      <c r="I8" s="110"/>
      <c r="J8" s="101"/>
      <c r="K8" s="101"/>
      <c r="L8" s="101"/>
      <c r="M8" s="81"/>
      <c r="N8" s="56"/>
      <c r="O8" s="110"/>
      <c r="P8" s="101"/>
      <c r="Q8" s="101"/>
      <c r="R8" s="101"/>
      <c r="S8" s="81"/>
      <c r="T8" s="56"/>
      <c r="U8" s="110"/>
      <c r="V8" s="101"/>
      <c r="W8" s="101"/>
      <c r="X8" s="101"/>
      <c r="Y8" s="81"/>
    </row>
    <row r="9" spans="1:25">
      <c r="A9" s="77" t="s">
        <v>15</v>
      </c>
      <c r="B9" s="101"/>
      <c r="C9" s="255">
        <v>873.5</v>
      </c>
      <c r="D9" s="256">
        <v>1041.3999999999996</v>
      </c>
      <c r="E9" s="256">
        <v>1062.0999999999999</v>
      </c>
      <c r="F9" s="256">
        <v>1108.1999999999994</v>
      </c>
      <c r="G9" s="257">
        <v>4085.1999999999989</v>
      </c>
      <c r="H9" s="258"/>
      <c r="I9" s="255">
        <v>973.2</v>
      </c>
      <c r="J9" s="256">
        <v>994.89999999999986</v>
      </c>
      <c r="K9" s="256">
        <v>1177.1999999999998</v>
      </c>
      <c r="L9" s="256">
        <v>1221.3999999999994</v>
      </c>
      <c r="M9" s="257">
        <v>4366.6999999999989</v>
      </c>
      <c r="N9" s="258"/>
      <c r="O9" s="255">
        <v>973.3</v>
      </c>
      <c r="P9" s="256">
        <v>1210.8999999999999</v>
      </c>
      <c r="Q9" s="256">
        <v>1276.2</v>
      </c>
      <c r="R9" s="256">
        <v>1328.6000000000006</v>
      </c>
      <c r="S9" s="257">
        <v>4789</v>
      </c>
      <c r="T9" s="258"/>
      <c r="U9" s="255">
        <v>996.29954999999995</v>
      </c>
      <c r="V9" s="256">
        <v>1278.697439</v>
      </c>
      <c r="W9" s="256">
        <v>1302.199924</v>
      </c>
      <c r="X9" s="256">
        <v>1475.3723319999999</v>
      </c>
      <c r="Y9" s="259">
        <v>5052.5692450000015</v>
      </c>
    </row>
    <row r="10" spans="1:25">
      <c r="A10" s="54" t="s">
        <v>106</v>
      </c>
      <c r="B10" s="46"/>
      <c r="C10" s="47">
        <v>0.41985099735640469</v>
      </c>
      <c r="D10" s="71">
        <v>0.44913097856557543</v>
      </c>
      <c r="E10" s="71">
        <v>0.4465982675973425</v>
      </c>
      <c r="F10" s="71">
        <v>0.43139086768655827</v>
      </c>
      <c r="G10" s="48">
        <v>0.43709275328204739</v>
      </c>
      <c r="H10" s="96"/>
      <c r="I10" s="47">
        <v>0.42276281494352741</v>
      </c>
      <c r="J10" s="71">
        <v>0.42898413245946876</v>
      </c>
      <c r="K10" s="71">
        <v>0.45659762625087269</v>
      </c>
      <c r="L10" s="71">
        <v>0.44545752945038097</v>
      </c>
      <c r="M10" s="48">
        <v>0.43924838803778171</v>
      </c>
      <c r="N10" s="1"/>
      <c r="O10" s="47">
        <v>0.4249290547915302</v>
      </c>
      <c r="P10" s="71">
        <v>0.45086941951818893</v>
      </c>
      <c r="Q10" s="71">
        <v>0.44269460246982101</v>
      </c>
      <c r="R10" s="71">
        <v>0.4356494081385055</v>
      </c>
      <c r="S10" s="48">
        <v>0.43900739776508657</v>
      </c>
      <c r="T10" s="1"/>
      <c r="U10" s="47">
        <v>0.39843840819568088</v>
      </c>
      <c r="V10" s="71">
        <v>0.41863538637136749</v>
      </c>
      <c r="W10" s="71">
        <v>0.41257230982419585</v>
      </c>
      <c r="X10" s="71">
        <v>0.42435072724964384</v>
      </c>
      <c r="Y10" s="48">
        <v>0.41455197923588644</v>
      </c>
    </row>
    <row r="11" spans="1:25" ht="5.0999999999999996" customHeight="1">
      <c r="A11" s="52"/>
      <c r="B11" s="105"/>
      <c r="C11" s="106"/>
      <c r="D11" s="105"/>
      <c r="E11" s="105"/>
      <c r="F11" s="105"/>
      <c r="G11" s="108"/>
      <c r="H11" s="96"/>
      <c r="I11" s="106"/>
      <c r="J11" s="105"/>
      <c r="K11" s="105"/>
      <c r="L11" s="105"/>
      <c r="M11" s="108"/>
      <c r="N11" s="1"/>
      <c r="O11" s="106"/>
      <c r="P11" s="105"/>
      <c r="Q11" s="105"/>
      <c r="R11" s="105"/>
      <c r="S11" s="108"/>
      <c r="T11" s="1"/>
      <c r="U11" s="106"/>
      <c r="V11" s="105"/>
      <c r="W11" s="105"/>
      <c r="X11" s="105"/>
      <c r="Y11" s="108"/>
    </row>
    <row r="12" spans="1:25" s="55" customFormat="1">
      <c r="A12" s="109" t="s">
        <v>21</v>
      </c>
      <c r="B12" s="101"/>
      <c r="C12" s="110">
        <v>666.9</v>
      </c>
      <c r="D12" s="101">
        <v>689.30000000000007</v>
      </c>
      <c r="E12" s="101">
        <v>647.39999999999975</v>
      </c>
      <c r="F12" s="101">
        <v>700.20000000000039</v>
      </c>
      <c r="G12" s="81">
        <v>2703.8</v>
      </c>
      <c r="H12" s="56"/>
      <c r="I12" s="110">
        <v>744.9</v>
      </c>
      <c r="J12" s="101">
        <v>707.2</v>
      </c>
      <c r="K12" s="101">
        <v>676.2</v>
      </c>
      <c r="L12" s="101">
        <v>716.20000000000016</v>
      </c>
      <c r="M12" s="81">
        <v>2844.5</v>
      </c>
      <c r="N12" s="56"/>
      <c r="O12" s="110">
        <v>733.2</v>
      </c>
      <c r="P12" s="101">
        <v>745.7</v>
      </c>
      <c r="Q12" s="101">
        <v>747.5</v>
      </c>
      <c r="R12" s="101">
        <v>793.59999999999991</v>
      </c>
      <c r="S12" s="81">
        <v>3020</v>
      </c>
      <c r="T12" s="56"/>
      <c r="U12" s="110">
        <v>759.75286200000005</v>
      </c>
      <c r="V12" s="101">
        <v>840.52924599999994</v>
      </c>
      <c r="W12" s="101">
        <v>847.94147800000007</v>
      </c>
      <c r="X12" s="101">
        <v>979.20156299999996</v>
      </c>
      <c r="Y12" s="247">
        <v>3427.4251490000001</v>
      </c>
    </row>
    <row r="13" spans="1:25" ht="5.0999999999999996" customHeight="1">
      <c r="A13" s="53"/>
      <c r="B13" s="105"/>
      <c r="C13" s="106"/>
      <c r="D13" s="105"/>
      <c r="E13" s="105"/>
      <c r="F13" s="105"/>
      <c r="G13" s="108"/>
      <c r="H13" s="96"/>
      <c r="I13" s="106"/>
      <c r="J13" s="105"/>
      <c r="K13" s="105"/>
      <c r="L13" s="105"/>
      <c r="M13" s="108"/>
      <c r="N13" s="1"/>
      <c r="O13" s="106"/>
      <c r="P13" s="105"/>
      <c r="Q13" s="105"/>
      <c r="R13" s="105"/>
      <c r="S13" s="108"/>
      <c r="T13" s="1"/>
      <c r="U13" s="106"/>
      <c r="V13" s="105"/>
      <c r="W13" s="105"/>
      <c r="X13" s="105"/>
      <c r="Y13" s="108"/>
    </row>
    <row r="14" spans="1:25" s="55" customFormat="1">
      <c r="A14" s="100" t="s">
        <v>25</v>
      </c>
      <c r="B14" s="101"/>
      <c r="C14" s="255">
        <v>206.60000000000002</v>
      </c>
      <c r="D14" s="256">
        <v>352.09999999999957</v>
      </c>
      <c r="E14" s="256">
        <v>414.70000000000016</v>
      </c>
      <c r="F14" s="256">
        <v>407.99999999999898</v>
      </c>
      <c r="G14" s="257">
        <v>1381.3999999999987</v>
      </c>
      <c r="H14" s="258"/>
      <c r="I14" s="255">
        <v>228.30000000000007</v>
      </c>
      <c r="J14" s="256">
        <v>287.69999999999982</v>
      </c>
      <c r="K14" s="256">
        <v>500.99999999999977</v>
      </c>
      <c r="L14" s="256">
        <v>505.19999999999925</v>
      </c>
      <c r="M14" s="257">
        <v>1522.1999999999989</v>
      </c>
      <c r="N14" s="258"/>
      <c r="O14" s="255">
        <v>240.09999999999991</v>
      </c>
      <c r="P14" s="256">
        <v>465.19999999999982</v>
      </c>
      <c r="Q14" s="256">
        <v>528.70000000000005</v>
      </c>
      <c r="R14" s="256">
        <v>535.00000000000068</v>
      </c>
      <c r="S14" s="257">
        <v>1769</v>
      </c>
      <c r="T14" s="258"/>
      <c r="U14" s="255">
        <v>236.5466879999999</v>
      </c>
      <c r="V14" s="256">
        <v>438.16819300000009</v>
      </c>
      <c r="W14" s="256">
        <v>454.25844599999994</v>
      </c>
      <c r="X14" s="256">
        <v>496.17076899999995</v>
      </c>
      <c r="Y14" s="259">
        <v>1625.1440960000014</v>
      </c>
    </row>
    <row r="15" spans="1:25">
      <c r="A15" s="54" t="s">
        <v>106</v>
      </c>
      <c r="B15" s="46"/>
      <c r="C15" s="47">
        <v>9.9303052150925275E-2</v>
      </c>
      <c r="D15" s="71">
        <v>0.15185233104756959</v>
      </c>
      <c r="E15" s="71">
        <v>0.17437557816836272</v>
      </c>
      <c r="F15" s="71">
        <v>0.15882284246175368</v>
      </c>
      <c r="G15" s="48">
        <v>0.14780180392240766</v>
      </c>
      <c r="H15" s="96"/>
      <c r="I15" s="47">
        <v>9.9174630755864496E-2</v>
      </c>
      <c r="J15" s="71">
        <v>0.12405139703345974</v>
      </c>
      <c r="K15" s="71">
        <v>0.19432161973469855</v>
      </c>
      <c r="L15" s="71">
        <v>0.18425179619971527</v>
      </c>
      <c r="M15" s="48">
        <v>0.15311880739943459</v>
      </c>
      <c r="N15" s="1"/>
      <c r="O15" s="47">
        <v>0.10482427417594407</v>
      </c>
      <c r="P15" s="71">
        <v>0.17321368730684733</v>
      </c>
      <c r="Q15" s="71">
        <v>0.18339808519494935</v>
      </c>
      <c r="R15" s="71">
        <v>0.1754270911892975</v>
      </c>
      <c r="S15" s="48">
        <v>0.1621641442151677</v>
      </c>
      <c r="T15" s="1"/>
      <c r="U15" s="47">
        <v>9.4599345980513921E-2</v>
      </c>
      <c r="V15" s="71">
        <v>0.14345278654476054</v>
      </c>
      <c r="W15" s="71">
        <v>0.1439214154979245</v>
      </c>
      <c r="X15" s="71">
        <v>0.14271002790173309</v>
      </c>
      <c r="Y15" s="48">
        <v>0.13333942967867546</v>
      </c>
    </row>
    <row r="16" spans="1:25" ht="5.0999999999999996" customHeight="1">
      <c r="A16" s="53"/>
      <c r="B16" s="105"/>
      <c r="C16" s="106"/>
      <c r="D16" s="105"/>
      <c r="E16" s="105"/>
      <c r="F16" s="105"/>
      <c r="G16" s="108"/>
      <c r="H16" s="96"/>
      <c r="I16" s="106"/>
      <c r="J16" s="105"/>
      <c r="K16" s="105"/>
      <c r="L16" s="105"/>
      <c r="M16" s="108"/>
      <c r="N16" s="1"/>
      <c r="O16" s="106"/>
      <c r="P16" s="105"/>
      <c r="Q16" s="105"/>
      <c r="R16" s="105"/>
      <c r="S16" s="108"/>
      <c r="T16" s="1"/>
      <c r="U16" s="106"/>
      <c r="V16" s="105"/>
      <c r="W16" s="105"/>
      <c r="X16" s="105"/>
      <c r="Y16" s="108"/>
    </row>
    <row r="17" spans="1:25" s="55" customFormat="1">
      <c r="A17" s="109" t="s">
        <v>34</v>
      </c>
      <c r="B17" s="101"/>
      <c r="C17" s="110">
        <v>52</v>
      </c>
      <c r="D17" s="101">
        <v>50.099999999999994</v>
      </c>
      <c r="E17" s="101">
        <v>50.700000000000017</v>
      </c>
      <c r="F17" s="101">
        <v>51.299999999999983</v>
      </c>
      <c r="G17" s="81">
        <v>204.1</v>
      </c>
      <c r="H17" s="56"/>
      <c r="I17" s="110">
        <v>55.8</v>
      </c>
      <c r="J17" s="101">
        <v>59.7</v>
      </c>
      <c r="K17" s="101">
        <v>53.7</v>
      </c>
      <c r="L17" s="101">
        <v>52.800000000000011</v>
      </c>
      <c r="M17" s="81">
        <v>222</v>
      </c>
      <c r="N17" s="56"/>
      <c r="O17" s="110">
        <v>57</v>
      </c>
      <c r="P17" s="101">
        <v>55.2</v>
      </c>
      <c r="Q17" s="101">
        <v>49.999999999999986</v>
      </c>
      <c r="R17" s="101">
        <v>54.3</v>
      </c>
      <c r="S17" s="81">
        <v>216.5</v>
      </c>
      <c r="T17" s="56"/>
      <c r="U17" s="110">
        <v>48.455674999999999</v>
      </c>
      <c r="V17" s="101">
        <v>47.551221999999996</v>
      </c>
      <c r="W17" s="101">
        <v>46.074334000000007</v>
      </c>
      <c r="X17" s="101">
        <v>33.152445</v>
      </c>
      <c r="Y17" s="247">
        <v>175.233676</v>
      </c>
    </row>
    <row r="18" spans="1:25" ht="5.25" customHeight="1">
      <c r="A18" s="53"/>
      <c r="B18" s="105"/>
      <c r="C18" s="106"/>
      <c r="D18" s="105"/>
      <c r="E18" s="105"/>
      <c r="F18" s="105"/>
      <c r="G18" s="108"/>
      <c r="H18" s="96"/>
      <c r="I18" s="106"/>
      <c r="J18" s="105"/>
      <c r="K18" s="105"/>
      <c r="L18" s="105"/>
      <c r="M18" s="108"/>
      <c r="N18" s="1"/>
      <c r="O18" s="106"/>
      <c r="P18" s="105"/>
      <c r="Q18" s="105"/>
      <c r="R18" s="105"/>
      <c r="S18" s="108"/>
      <c r="T18" s="1"/>
      <c r="U18" s="106"/>
      <c r="V18" s="105"/>
      <c r="W18" s="105"/>
      <c r="X18" s="105"/>
      <c r="Y18" s="108"/>
    </row>
    <row r="19" spans="1:25" s="55" customFormat="1">
      <c r="A19" s="100" t="s">
        <v>35</v>
      </c>
      <c r="B19" s="101"/>
      <c r="C19" s="255">
        <v>154.60000000000002</v>
      </c>
      <c r="D19" s="256">
        <v>301.99999999999955</v>
      </c>
      <c r="E19" s="256">
        <v>364.00000000000011</v>
      </c>
      <c r="F19" s="256">
        <v>356.69999999999902</v>
      </c>
      <c r="G19" s="257">
        <v>1177.2999999999988</v>
      </c>
      <c r="H19" s="258"/>
      <c r="I19" s="255">
        <v>172.50000000000006</v>
      </c>
      <c r="J19" s="256">
        <v>227.99999999999983</v>
      </c>
      <c r="K19" s="256">
        <v>447.29999999999978</v>
      </c>
      <c r="L19" s="256">
        <v>452.39999999999924</v>
      </c>
      <c r="M19" s="257">
        <v>1300.1999999999989</v>
      </c>
      <c r="N19" s="258"/>
      <c r="O19" s="255">
        <v>183.09999999999991</v>
      </c>
      <c r="P19" s="256">
        <v>409.99999999999983</v>
      </c>
      <c r="Q19" s="256">
        <v>478.70000000000005</v>
      </c>
      <c r="R19" s="256">
        <v>480.70000000000067</v>
      </c>
      <c r="S19" s="257">
        <v>1552.5</v>
      </c>
      <c r="T19" s="258"/>
      <c r="U19" s="255">
        <v>188.09101299999992</v>
      </c>
      <c r="V19" s="256">
        <v>390.61697100000009</v>
      </c>
      <c r="W19" s="256">
        <v>408.18411199999991</v>
      </c>
      <c r="X19" s="256">
        <v>463.01832399999995</v>
      </c>
      <c r="Y19" s="259">
        <v>1449.9104200000013</v>
      </c>
    </row>
    <row r="20" spans="1:25" ht="5.25" customHeight="1">
      <c r="A20" s="53"/>
      <c r="B20" s="105"/>
      <c r="C20" s="106"/>
      <c r="D20" s="105"/>
      <c r="E20" s="105"/>
      <c r="F20" s="105"/>
      <c r="G20" s="108"/>
      <c r="H20" s="1"/>
      <c r="I20" s="106"/>
      <c r="J20" s="105"/>
      <c r="K20" s="105"/>
      <c r="L20" s="105"/>
      <c r="M20" s="108"/>
      <c r="N20" s="1"/>
      <c r="O20" s="106"/>
      <c r="P20" s="105"/>
      <c r="Q20" s="105"/>
      <c r="R20" s="105"/>
      <c r="S20" s="108"/>
      <c r="T20" s="1"/>
      <c r="U20" s="106"/>
      <c r="V20" s="105"/>
      <c r="W20" s="105"/>
      <c r="X20" s="105"/>
      <c r="Y20" s="108"/>
    </row>
    <row r="21" spans="1:25" s="55" customFormat="1">
      <c r="A21" s="109" t="s">
        <v>107</v>
      </c>
      <c r="B21" s="101"/>
      <c r="C21" s="110">
        <v>-7.4</v>
      </c>
      <c r="D21" s="101">
        <v>-17</v>
      </c>
      <c r="E21" s="101">
        <v>-26.5</v>
      </c>
      <c r="F21" s="101">
        <v>4.0000000000000018</v>
      </c>
      <c r="G21" s="81">
        <v>-46.9</v>
      </c>
      <c r="H21" s="56"/>
      <c r="I21" s="110">
        <v>-206.4</v>
      </c>
      <c r="J21" s="101">
        <v>30.8</v>
      </c>
      <c r="K21" s="101">
        <v>-44.6</v>
      </c>
      <c r="L21" s="101">
        <v>-9.6000000000000227</v>
      </c>
      <c r="M21" s="81">
        <v>-229.8</v>
      </c>
      <c r="N21" s="56"/>
      <c r="O21" s="110">
        <v>-22.2</v>
      </c>
      <c r="P21" s="101">
        <v>-14.599999999999998</v>
      </c>
      <c r="Q21" s="101">
        <v>-13.000000000000004</v>
      </c>
      <c r="R21" s="101">
        <v>20.8</v>
      </c>
      <c r="S21" s="81">
        <v>-29</v>
      </c>
      <c r="T21" s="56"/>
      <c r="U21" s="110">
        <v>6.54406</v>
      </c>
      <c r="V21" s="101">
        <v>-54.372800000000005</v>
      </c>
      <c r="W21" s="101">
        <v>-3.9015309999999985</v>
      </c>
      <c r="X21" s="101">
        <v>3.1301540000000045</v>
      </c>
      <c r="Y21" s="81">
        <v>-48.600116999999997</v>
      </c>
    </row>
    <row r="22" spans="1:25" ht="5.25" customHeight="1">
      <c r="A22" s="53"/>
      <c r="B22" s="105"/>
      <c r="C22" s="106"/>
      <c r="D22" s="105"/>
      <c r="E22" s="105"/>
      <c r="F22" s="105"/>
      <c r="G22" s="108"/>
      <c r="H22" s="1"/>
      <c r="I22" s="106"/>
      <c r="J22" s="105"/>
      <c r="K22" s="105"/>
      <c r="L22" s="105"/>
      <c r="M22" s="108"/>
      <c r="N22" s="1"/>
      <c r="O22" s="106"/>
      <c r="P22" s="105"/>
      <c r="Q22" s="105"/>
      <c r="R22" s="105"/>
      <c r="S22" s="108"/>
      <c r="T22" s="1"/>
      <c r="U22" s="106"/>
      <c r="V22" s="105"/>
      <c r="W22" s="105"/>
      <c r="X22" s="105"/>
      <c r="Y22" s="108"/>
    </row>
    <row r="23" spans="1:25" s="55" customFormat="1">
      <c r="A23" s="100" t="s">
        <v>37</v>
      </c>
      <c r="B23" s="101"/>
      <c r="C23" s="255">
        <v>147.20000000000002</v>
      </c>
      <c r="D23" s="256">
        <v>284.99999999999955</v>
      </c>
      <c r="E23" s="256">
        <v>337.50000000000011</v>
      </c>
      <c r="F23" s="256">
        <v>360.69999999999902</v>
      </c>
      <c r="G23" s="257">
        <v>1130.3999999999987</v>
      </c>
      <c r="H23" s="258"/>
      <c r="I23" s="255">
        <v>-33.899999999999949</v>
      </c>
      <c r="J23" s="256">
        <v>258.79999999999984</v>
      </c>
      <c r="K23" s="256">
        <v>402.69999999999976</v>
      </c>
      <c r="L23" s="256">
        <v>442.79999999999922</v>
      </c>
      <c r="M23" s="257">
        <v>1070.399999999999</v>
      </c>
      <c r="N23" s="258"/>
      <c r="O23" s="255">
        <v>160.89999999999992</v>
      </c>
      <c r="P23" s="256">
        <v>395.39999999999981</v>
      </c>
      <c r="Q23" s="256">
        <v>465.70000000000005</v>
      </c>
      <c r="R23" s="256">
        <v>501.50000000000068</v>
      </c>
      <c r="S23" s="257">
        <v>1523.5</v>
      </c>
      <c r="T23" s="258"/>
      <c r="U23" s="255">
        <v>194.63507299999992</v>
      </c>
      <c r="V23" s="256">
        <v>336.24417100000011</v>
      </c>
      <c r="W23" s="256">
        <v>404.28258099999994</v>
      </c>
      <c r="X23" s="256">
        <v>466.14847799999995</v>
      </c>
      <c r="Y23" s="259">
        <v>1401.3103030000013</v>
      </c>
    </row>
    <row r="24" spans="1:25">
      <c r="A24" s="54" t="s">
        <v>106</v>
      </c>
      <c r="B24" s="46"/>
      <c r="C24" s="47">
        <v>7.0752223023311717E-2</v>
      </c>
      <c r="D24" s="71">
        <v>0.12291370164316193</v>
      </c>
      <c r="E24" s="71">
        <v>0.14191405264485751</v>
      </c>
      <c r="F24" s="71">
        <v>0.14041029234302585</v>
      </c>
      <c r="G24" s="48">
        <v>0.12094625680750659</v>
      </c>
      <c r="H24" s="1"/>
      <c r="I24" s="47">
        <v>-1.4726324934839248E-2</v>
      </c>
      <c r="J24" s="71">
        <v>0.11159020351845458</v>
      </c>
      <c r="K24" s="71">
        <v>0.15619424404623372</v>
      </c>
      <c r="L24" s="71">
        <v>0.16149385462635371</v>
      </c>
      <c r="M24" s="48">
        <v>0.10767203484453734</v>
      </c>
      <c r="N24" s="1"/>
      <c r="O24" s="47">
        <v>7.0246671032525618E-2</v>
      </c>
      <c r="P24" s="71">
        <v>0.14722418736269868</v>
      </c>
      <c r="Q24" s="71">
        <v>0.16154433189954212</v>
      </c>
      <c r="R24" s="71">
        <v>0.16444240417090225</v>
      </c>
      <c r="S24" s="48">
        <v>0.13965917112029846</v>
      </c>
      <c r="T24" s="1"/>
      <c r="U24" s="47">
        <v>7.7838124753915744E-2</v>
      </c>
      <c r="V24" s="71">
        <v>0.11008367120199199</v>
      </c>
      <c r="W24" s="71">
        <v>0.12808770388536556</v>
      </c>
      <c r="X24" s="71">
        <v>0.13407493237823209</v>
      </c>
      <c r="Y24" s="48">
        <v>0.11497436877429477</v>
      </c>
    </row>
    <row r="25" spans="1:25" ht="5.25" customHeight="1">
      <c r="A25" s="53"/>
      <c r="B25" s="105"/>
      <c r="C25" s="106"/>
      <c r="D25" s="105"/>
      <c r="E25" s="105"/>
      <c r="F25" s="105"/>
      <c r="G25" s="108"/>
      <c r="H25" s="1"/>
      <c r="I25" s="106"/>
      <c r="J25" s="105"/>
      <c r="K25" s="105"/>
      <c r="L25" s="105"/>
      <c r="M25" s="108"/>
      <c r="N25" s="1"/>
      <c r="O25" s="106"/>
      <c r="P25" s="105"/>
      <c r="Q25" s="105"/>
      <c r="R25" s="105"/>
      <c r="S25" s="108"/>
      <c r="T25" s="1"/>
      <c r="U25" s="106"/>
      <c r="V25" s="105"/>
      <c r="W25" s="105"/>
      <c r="X25" s="105"/>
      <c r="Y25" s="108"/>
    </row>
    <row r="26" spans="1:25" s="55" customFormat="1">
      <c r="A26" s="109" t="s">
        <v>38</v>
      </c>
      <c r="B26" s="101"/>
      <c r="C26" s="110">
        <v>35.299999999999997</v>
      </c>
      <c r="D26" s="101">
        <v>68.400000000000006</v>
      </c>
      <c r="E26" s="101">
        <v>81.100000000000009</v>
      </c>
      <c r="F26" s="101">
        <v>87.3</v>
      </c>
      <c r="G26" s="81">
        <v>272.10000000000002</v>
      </c>
      <c r="H26" s="56"/>
      <c r="I26" s="110">
        <v>-8.5</v>
      </c>
      <c r="J26" s="101">
        <v>64.7</v>
      </c>
      <c r="K26" s="101">
        <v>100.7</v>
      </c>
      <c r="L26" s="101">
        <v>115.3</v>
      </c>
      <c r="M26" s="81">
        <v>272.2</v>
      </c>
      <c r="N26" s="56"/>
      <c r="O26" s="110">
        <v>40.200000000000003</v>
      </c>
      <c r="P26" s="101">
        <v>98.8</v>
      </c>
      <c r="Q26" s="101">
        <v>116.49999999999999</v>
      </c>
      <c r="R26" s="101">
        <v>135.5</v>
      </c>
      <c r="S26" s="81">
        <v>391</v>
      </c>
      <c r="T26" s="56"/>
      <c r="U26" s="110">
        <v>48.658732000000001</v>
      </c>
      <c r="V26" s="101">
        <v>84.061078999999992</v>
      </c>
      <c r="W26" s="101">
        <v>101.07064500000003</v>
      </c>
      <c r="X26" s="101">
        <v>99.900156999999965</v>
      </c>
      <c r="Y26" s="247">
        <v>333.69061299999998</v>
      </c>
    </row>
    <row r="27" spans="1:25">
      <c r="A27" s="54" t="s">
        <v>106</v>
      </c>
      <c r="B27" s="46"/>
      <c r="C27" s="47">
        <v>0.23980978260869559</v>
      </c>
      <c r="D27" s="71">
        <v>0.24000000000000041</v>
      </c>
      <c r="E27" s="71">
        <v>0.24029629629629623</v>
      </c>
      <c r="F27" s="71">
        <v>0.24202938730246806</v>
      </c>
      <c r="G27" s="48">
        <v>0.24071125265392809</v>
      </c>
      <c r="H27" s="1"/>
      <c r="I27" s="47">
        <v>0.25073746312684403</v>
      </c>
      <c r="J27" s="71">
        <v>0.25000000000000017</v>
      </c>
      <c r="K27" s="71">
        <v>0.25006208095356358</v>
      </c>
      <c r="L27" s="71">
        <v>0.26038843721770599</v>
      </c>
      <c r="M27" s="48">
        <v>0.25429745889387168</v>
      </c>
      <c r="N27" s="1"/>
      <c r="O27" s="47">
        <v>0.24984462399005608</v>
      </c>
      <c r="P27" s="71">
        <v>0.24987354577642903</v>
      </c>
      <c r="Q27" s="71">
        <v>0.2501610478849044</v>
      </c>
      <c r="R27" s="71">
        <v>0.27018943170488496</v>
      </c>
      <c r="S27" s="48">
        <v>0.25664588119461768</v>
      </c>
      <c r="T27" s="1"/>
      <c r="U27" s="47">
        <v>0.24999981375401967</v>
      </c>
      <c r="V27" s="243">
        <v>0.25000010780856025</v>
      </c>
      <c r="W27" s="71">
        <v>0.24999999938162076</v>
      </c>
      <c r="X27" s="71">
        <v>0.21430973544871249</v>
      </c>
      <c r="Y27" s="48">
        <v>0.23812756695331289</v>
      </c>
    </row>
    <row r="28" spans="1:25" ht="5.25" customHeight="1">
      <c r="A28" s="53"/>
      <c r="B28" s="105"/>
      <c r="C28" s="106"/>
      <c r="D28" s="105"/>
      <c r="E28" s="105"/>
      <c r="F28" s="105"/>
      <c r="G28" s="107"/>
      <c r="H28" s="1"/>
      <c r="I28" s="106"/>
      <c r="J28" s="105"/>
      <c r="K28" s="105"/>
      <c r="L28" s="105"/>
      <c r="M28" s="108"/>
      <c r="N28" s="1"/>
      <c r="O28" s="106"/>
      <c r="P28" s="105"/>
      <c r="Q28" s="105"/>
      <c r="R28" s="105"/>
      <c r="S28" s="108"/>
      <c r="T28" s="1"/>
      <c r="U28" s="106"/>
      <c r="V28" s="105"/>
      <c r="W28" s="105"/>
      <c r="X28" s="105"/>
      <c r="Y28" s="108"/>
    </row>
    <row r="29" spans="1:25" s="55" customFormat="1">
      <c r="A29" s="100" t="s">
        <v>108</v>
      </c>
      <c r="B29" s="101"/>
      <c r="C29" s="255">
        <v>111.90000000000002</v>
      </c>
      <c r="D29" s="256">
        <v>216.59999999999954</v>
      </c>
      <c r="E29" s="256">
        <v>256.40000000000009</v>
      </c>
      <c r="F29" s="256">
        <v>273.39999999999901</v>
      </c>
      <c r="G29" s="257">
        <v>858.2999999999987</v>
      </c>
      <c r="H29" s="258"/>
      <c r="I29" s="255">
        <v>-25.399999999999949</v>
      </c>
      <c r="J29" s="256">
        <v>194.09999999999985</v>
      </c>
      <c r="K29" s="256">
        <v>301.99999999999977</v>
      </c>
      <c r="L29" s="256">
        <v>327.4999999999992</v>
      </c>
      <c r="M29" s="257">
        <v>798.19999999999891</v>
      </c>
      <c r="N29" s="258"/>
      <c r="O29" s="255">
        <v>120.69999999999992</v>
      </c>
      <c r="P29" s="256">
        <v>296.5999999999998</v>
      </c>
      <c r="Q29" s="256">
        <v>349.20000000000005</v>
      </c>
      <c r="R29" s="256">
        <v>366.00000000000068</v>
      </c>
      <c r="S29" s="257">
        <v>1132.5</v>
      </c>
      <c r="T29" s="258"/>
      <c r="U29" s="255">
        <v>145.97634099999993</v>
      </c>
      <c r="V29" s="256">
        <v>252.1830920000001</v>
      </c>
      <c r="W29" s="256">
        <v>303.21193599999992</v>
      </c>
      <c r="X29" s="256">
        <v>366.24832099999998</v>
      </c>
      <c r="Y29" s="259">
        <v>1067.6196900000014</v>
      </c>
    </row>
    <row r="30" spans="1:25">
      <c r="A30" s="54" t="s">
        <v>106</v>
      </c>
      <c r="B30" s="46"/>
      <c r="C30" s="47">
        <v>5.3785147801009382E-2</v>
      </c>
      <c r="D30" s="71">
        <v>9.3414413248803022E-2</v>
      </c>
      <c r="E30" s="71">
        <v>0.10781263140190064</v>
      </c>
      <c r="F30" s="71">
        <v>0.10642687531628287</v>
      </c>
      <c r="G30" s="48">
        <v>9.1833131827567999E-2</v>
      </c>
      <c r="H30" s="1"/>
      <c r="I30" s="47">
        <v>-1.1033883579496069E-2</v>
      </c>
      <c r="J30" s="71">
        <v>8.3692652638840917E-2</v>
      </c>
      <c r="K30" s="71">
        <v>0.11713598634706376</v>
      </c>
      <c r="L30" s="71">
        <v>0.11944272219993408</v>
      </c>
      <c r="M30" s="48">
        <v>8.0291309989639084E-2</v>
      </c>
      <c r="N30" s="1"/>
      <c r="O30" s="47">
        <v>5.269591792185109E-2</v>
      </c>
      <c r="P30" s="71">
        <v>0.11043675764232781</v>
      </c>
      <c r="Q30" s="71">
        <v>0.12113223255168587</v>
      </c>
      <c r="R30" s="71">
        <v>0.12001180443978116</v>
      </c>
      <c r="S30" s="48">
        <v>0.10381622008121957</v>
      </c>
      <c r="T30" s="1"/>
      <c r="U30" s="47">
        <v>5.8378608062474663E-2</v>
      </c>
      <c r="V30" s="71">
        <v>8.2562741533531894E-2</v>
      </c>
      <c r="W30" s="71">
        <v>9.6065777993230947E-2</v>
      </c>
      <c r="X30" s="71">
        <v>0.10534136908994915</v>
      </c>
      <c r="Y30" s="48">
        <v>8.7595802076079005E-2</v>
      </c>
    </row>
    <row r="31" spans="1:25" ht="5.25" customHeight="1">
      <c r="A31" s="53"/>
      <c r="B31" s="105"/>
      <c r="C31" s="106"/>
      <c r="D31" s="105"/>
      <c r="E31" s="105"/>
      <c r="F31" s="105"/>
      <c r="G31" s="108"/>
      <c r="H31" s="1"/>
      <c r="I31" s="106"/>
      <c r="J31" s="105"/>
      <c r="K31" s="105"/>
      <c r="L31" s="105"/>
      <c r="M31" s="108"/>
      <c r="N31" s="1"/>
      <c r="O31" s="106"/>
      <c r="P31" s="105"/>
      <c r="Q31" s="105"/>
      <c r="R31" s="105"/>
      <c r="S31" s="108"/>
      <c r="T31" s="1"/>
      <c r="U31" s="106"/>
      <c r="V31" s="105"/>
      <c r="W31" s="105"/>
      <c r="X31" s="105"/>
      <c r="Y31" s="108"/>
    </row>
    <row r="32" spans="1:25" s="55" customFormat="1">
      <c r="A32" s="100" t="s">
        <v>109</v>
      </c>
      <c r="B32" s="101"/>
      <c r="C32" s="102">
        <v>-4</v>
      </c>
      <c r="D32" s="103">
        <v>-10.199999999999999</v>
      </c>
      <c r="E32" s="103">
        <v>-13.400000000000002</v>
      </c>
      <c r="F32" s="103">
        <v>-8.2999999999999972</v>
      </c>
      <c r="G32" s="104">
        <v>-35.9</v>
      </c>
      <c r="H32" s="56"/>
      <c r="I32" s="102">
        <v>-3.6</v>
      </c>
      <c r="J32" s="103">
        <v>7.8</v>
      </c>
      <c r="K32" s="103">
        <v>-13.6</v>
      </c>
      <c r="L32" s="103">
        <v>-13.700000000000001</v>
      </c>
      <c r="M32" s="104">
        <v>-23.1</v>
      </c>
      <c r="N32" s="171"/>
      <c r="O32" s="102">
        <v>-8.6</v>
      </c>
      <c r="P32" s="103">
        <v>-14.299999999999999</v>
      </c>
      <c r="Q32" s="103">
        <v>-17.5</v>
      </c>
      <c r="R32" s="103">
        <v>-0.60000000000000142</v>
      </c>
      <c r="S32" s="104">
        <v>-41</v>
      </c>
      <c r="T32" s="171"/>
      <c r="U32" s="102">
        <v>-4.8365270000000002</v>
      </c>
      <c r="V32" s="103">
        <v>-14.143682999999999</v>
      </c>
      <c r="W32" s="103">
        <v>-16.550874999999998</v>
      </c>
      <c r="X32" s="103">
        <v>-3.2856780000000079</v>
      </c>
      <c r="Y32" s="104">
        <v>-38.816763000000009</v>
      </c>
    </row>
    <row r="33" spans="1:25" ht="5.25" customHeight="1">
      <c r="A33" s="53"/>
      <c r="B33" s="49"/>
      <c r="C33" s="50"/>
      <c r="D33" s="49"/>
      <c r="E33" s="49"/>
      <c r="F33" s="49"/>
      <c r="G33" s="51"/>
      <c r="H33" s="1"/>
      <c r="I33" s="50"/>
      <c r="J33" s="49"/>
      <c r="K33" s="49"/>
      <c r="L33" s="49"/>
      <c r="M33" s="51"/>
      <c r="N33" s="1"/>
      <c r="O33" s="50"/>
      <c r="P33" s="49"/>
      <c r="Q33" s="49"/>
      <c r="R33" s="49"/>
      <c r="S33" s="51"/>
      <c r="T33" s="1"/>
      <c r="U33" s="50"/>
      <c r="V33" s="49"/>
      <c r="W33" s="49"/>
      <c r="X33" s="49"/>
      <c r="Y33" s="51"/>
    </row>
    <row r="34" spans="1:25" ht="15" customHeight="1" thickBot="1">
      <c r="A34" s="78" t="s">
        <v>110</v>
      </c>
      <c r="B34" s="101"/>
      <c r="C34" s="111">
        <v>0.36480853597066942</v>
      </c>
      <c r="D34" s="112">
        <v>0.6978357907724374</v>
      </c>
      <c r="E34" s="112">
        <v>0.82157992808964486</v>
      </c>
      <c r="F34" s="112">
        <v>0.89629974871013973</v>
      </c>
      <c r="G34" s="113">
        <v>2.7805240035428915</v>
      </c>
      <c r="H34" s="1"/>
      <c r="I34" s="111">
        <v>-9.8048633393414214E-2</v>
      </c>
      <c r="J34" s="112">
        <v>0.6826213476596672</v>
      </c>
      <c r="K34" s="112">
        <v>0.97507675416071315</v>
      </c>
      <c r="L34" s="112">
        <v>1.0609538330639088</v>
      </c>
      <c r="M34" s="113">
        <v>2.6206033014908749</v>
      </c>
      <c r="N34" s="1"/>
      <c r="O34" s="111">
        <v>0.37900868287592221</v>
      </c>
      <c r="P34" s="112">
        <v>0.95445273127451236</v>
      </c>
      <c r="Q34" s="112">
        <v>1.121473506779157</v>
      </c>
      <c r="R34" s="112">
        <v>1.2354127807570234</v>
      </c>
      <c r="S34" s="113">
        <v>3.6953499469992357</v>
      </c>
      <c r="T34" s="1"/>
      <c r="U34" s="111">
        <v>0.47719192690002377</v>
      </c>
      <c r="V34" s="112">
        <v>0.80625688668176998</v>
      </c>
      <c r="W34" s="112">
        <v>0.97094197782499436</v>
      </c>
      <c r="X34" s="112">
        <v>1.2293810161785714</v>
      </c>
      <c r="Y34" s="254">
        <v>3.4846307525999318</v>
      </c>
    </row>
    <row r="35" spans="1:25" ht="6.75" customHeight="1">
      <c r="A35" s="1"/>
      <c r="B35" s="9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55" customFormat="1">
      <c r="A36" s="56" t="s">
        <v>111</v>
      </c>
      <c r="B36" s="56"/>
      <c r="C36" s="56">
        <v>280.89999999999998</v>
      </c>
      <c r="D36" s="56">
        <v>427.7</v>
      </c>
      <c r="E36" s="56">
        <v>495.9</v>
      </c>
      <c r="F36" s="56">
        <v>470.99999999999852</v>
      </c>
      <c r="G36" s="56">
        <v>1675.4999999999986</v>
      </c>
      <c r="H36" s="56"/>
      <c r="I36" s="56">
        <v>309</v>
      </c>
      <c r="J36" s="56">
        <v>371.3</v>
      </c>
      <c r="K36" s="56">
        <v>586.20000000000005</v>
      </c>
      <c r="L36" s="56">
        <v>593.5</v>
      </c>
      <c r="M36" s="56">
        <v>1860</v>
      </c>
      <c r="N36" s="115"/>
      <c r="O36" s="56">
        <v>321.5</v>
      </c>
      <c r="P36" s="56">
        <v>547.20000000000005</v>
      </c>
      <c r="Q36" s="56">
        <v>612.89999999999986</v>
      </c>
      <c r="R36" s="56">
        <v>628.5</v>
      </c>
      <c r="S36" s="56">
        <v>2110.1</v>
      </c>
      <c r="T36" s="115"/>
      <c r="U36" s="240">
        <v>332.55974800000001</v>
      </c>
      <c r="V36" s="56">
        <v>549.78433199999995</v>
      </c>
      <c r="W36" s="56">
        <v>563.11859600000003</v>
      </c>
      <c r="X36" s="56">
        <v>611.56822599999987</v>
      </c>
      <c r="Y36" s="56">
        <v>2057.030902</v>
      </c>
    </row>
    <row r="37" spans="1:25" s="55" customFormat="1">
      <c r="A37" s="56" t="s">
        <v>112</v>
      </c>
      <c r="B37" s="56"/>
      <c r="C37" s="56">
        <v>344.90000000000003</v>
      </c>
      <c r="D37" s="56">
        <v>496.3</v>
      </c>
      <c r="E37" s="56">
        <v>563.6</v>
      </c>
      <c r="F37" s="56">
        <v>544.29999999999859</v>
      </c>
      <c r="G37" s="56">
        <v>1949.0999999999988</v>
      </c>
      <c r="H37" s="56"/>
      <c r="I37" s="56">
        <v>385.7</v>
      </c>
      <c r="J37" s="56">
        <v>450.2</v>
      </c>
      <c r="K37" s="56">
        <v>659.7</v>
      </c>
      <c r="L37" s="56">
        <v>671.3</v>
      </c>
      <c r="M37" s="56">
        <v>2166.9</v>
      </c>
      <c r="N37" s="115"/>
      <c r="O37" s="56">
        <v>395.3</v>
      </c>
      <c r="P37" s="56">
        <v>619.90000000000009</v>
      </c>
      <c r="Q37" s="56">
        <v>687.09999999999991</v>
      </c>
      <c r="R37" s="56">
        <v>705.00000000000023</v>
      </c>
      <c r="S37" s="56">
        <v>2407.3000000000002</v>
      </c>
      <c r="T37" s="115"/>
      <c r="U37" s="240">
        <v>402.02597800000001</v>
      </c>
      <c r="V37" s="56">
        <v>618.54605900000001</v>
      </c>
      <c r="W37" s="56">
        <v>635.57495399999993</v>
      </c>
      <c r="X37" s="56">
        <v>704.67954499999996</v>
      </c>
      <c r="Y37" s="56">
        <v>2360.826536</v>
      </c>
    </row>
    <row r="38" spans="1:25" ht="5.25" customHeight="1" thickBot="1">
      <c r="A38" s="1"/>
      <c r="B38" s="9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6.5" thickBot="1">
      <c r="A39" s="27" t="s">
        <v>80</v>
      </c>
      <c r="B39" s="95"/>
      <c r="C39" s="33">
        <v>2019</v>
      </c>
      <c r="D39" s="32"/>
      <c r="E39" s="32"/>
      <c r="F39" s="32"/>
      <c r="G39" s="32"/>
      <c r="H39" s="1">
        <v>2020</v>
      </c>
      <c r="I39" s="30">
        <v>2020</v>
      </c>
      <c r="J39" s="31"/>
      <c r="K39" s="31"/>
      <c r="L39" s="31"/>
      <c r="M39" s="32"/>
      <c r="N39" s="1"/>
      <c r="O39" s="30">
        <v>2021</v>
      </c>
      <c r="P39" s="31"/>
      <c r="Q39" s="31"/>
      <c r="R39" s="31"/>
      <c r="S39" s="32"/>
      <c r="T39" s="1"/>
      <c r="U39" s="30">
        <v>2022</v>
      </c>
      <c r="V39" s="31"/>
      <c r="W39" s="31"/>
      <c r="X39" s="31"/>
      <c r="Y39" s="32"/>
    </row>
    <row r="40" spans="1:25" ht="12" thickBot="1">
      <c r="A40" s="35" t="s">
        <v>81</v>
      </c>
      <c r="B40" s="36"/>
      <c r="C40" s="40" t="s">
        <v>42</v>
      </c>
      <c r="D40" s="41" t="s">
        <v>43</v>
      </c>
      <c r="E40" s="41" t="s">
        <v>44</v>
      </c>
      <c r="F40" s="41" t="s">
        <v>45</v>
      </c>
      <c r="G40" s="42" t="s">
        <v>82</v>
      </c>
      <c r="H40" s="1"/>
      <c r="I40" s="40" t="s">
        <v>46</v>
      </c>
      <c r="J40" s="41" t="s">
        <v>47</v>
      </c>
      <c r="K40" s="41" t="s">
        <v>48</v>
      </c>
      <c r="L40" s="41" t="s">
        <v>49</v>
      </c>
      <c r="M40" s="42" t="s">
        <v>82</v>
      </c>
      <c r="N40" s="1"/>
      <c r="O40" s="40" t="s">
        <v>50</v>
      </c>
      <c r="P40" s="41" t="s">
        <v>51</v>
      </c>
      <c r="Q40" s="41" t="s">
        <v>52</v>
      </c>
      <c r="R40" s="41" t="s">
        <v>1</v>
      </c>
      <c r="S40" s="42" t="s">
        <v>82</v>
      </c>
      <c r="T40" s="1"/>
      <c r="U40" s="40" t="s">
        <v>53</v>
      </c>
      <c r="V40" s="41" t="s">
        <v>54</v>
      </c>
      <c r="W40" s="41" t="s">
        <v>55</v>
      </c>
      <c r="X40" s="41" t="s">
        <v>56</v>
      </c>
      <c r="Y40" s="42" t="s">
        <v>82</v>
      </c>
    </row>
    <row r="41" spans="1:25" ht="5.25" customHeight="1">
      <c r="A41" s="52"/>
      <c r="B41" s="116"/>
      <c r="C41" s="117"/>
      <c r="D41" s="119"/>
      <c r="E41" s="119"/>
      <c r="F41" s="119"/>
      <c r="G41" s="118"/>
      <c r="H41" s="1"/>
      <c r="I41" s="120"/>
      <c r="J41" s="1"/>
      <c r="K41" s="1"/>
      <c r="L41" s="1"/>
      <c r="M41" s="107"/>
      <c r="N41" s="1"/>
      <c r="O41" s="120"/>
      <c r="P41" s="1"/>
      <c r="Q41" s="1"/>
      <c r="R41" s="1"/>
      <c r="S41" s="107"/>
      <c r="T41" s="1"/>
      <c r="U41" s="120"/>
      <c r="V41" s="1"/>
      <c r="W41" s="1"/>
      <c r="X41" s="1"/>
      <c r="Y41" s="107"/>
    </row>
    <row r="42" spans="1:25">
      <c r="A42" s="53" t="s">
        <v>113</v>
      </c>
      <c r="B42" s="116"/>
      <c r="C42" s="121"/>
      <c r="D42" s="116"/>
      <c r="E42" s="116"/>
      <c r="F42" s="116"/>
      <c r="G42" s="122"/>
      <c r="H42" s="123"/>
      <c r="I42" s="121"/>
      <c r="J42" s="116"/>
      <c r="K42" s="116"/>
      <c r="L42" s="116"/>
      <c r="M42" s="122"/>
      <c r="N42" s="1"/>
      <c r="O42" s="121"/>
      <c r="P42" s="116"/>
      <c r="Q42" s="116"/>
      <c r="R42" s="116"/>
      <c r="S42" s="122"/>
      <c r="T42" s="1"/>
      <c r="U42" s="121"/>
      <c r="V42" s="116"/>
      <c r="W42" s="116"/>
      <c r="X42" s="116"/>
      <c r="Y42" s="122"/>
    </row>
    <row r="43" spans="1:25" ht="11.25" customHeight="1">
      <c r="A43" s="52" t="s">
        <v>114</v>
      </c>
      <c r="B43" s="116"/>
      <c r="C43" s="124">
        <v>152</v>
      </c>
      <c r="D43" s="123">
        <v>153</v>
      </c>
      <c r="E43" s="123">
        <v>153</v>
      </c>
      <c r="F43" s="123">
        <v>160</v>
      </c>
      <c r="G43" s="125">
        <v>618</v>
      </c>
      <c r="H43" s="91"/>
      <c r="I43" s="124">
        <v>192</v>
      </c>
      <c r="J43" s="123">
        <v>187</v>
      </c>
      <c r="K43" s="123">
        <v>176</v>
      </c>
      <c r="L43" s="123">
        <v>223</v>
      </c>
      <c r="M43" s="125">
        <v>778</v>
      </c>
      <c r="N43" s="1"/>
      <c r="O43" s="124">
        <v>203</v>
      </c>
      <c r="P43" s="123">
        <v>215</v>
      </c>
      <c r="Q43" s="123">
        <v>196</v>
      </c>
      <c r="R43" s="123">
        <v>187</v>
      </c>
      <c r="S43" s="125">
        <v>801</v>
      </c>
      <c r="T43" s="1"/>
      <c r="U43" s="124">
        <v>245.56024500000001</v>
      </c>
      <c r="V43" s="123">
        <v>239.88172800000001</v>
      </c>
      <c r="W43" s="123">
        <v>213.95339799999994</v>
      </c>
      <c r="X43" s="246">
        <v>227.22714100000013</v>
      </c>
      <c r="Y43" s="125">
        <v>926.62251200000014</v>
      </c>
    </row>
    <row r="44" spans="1:25" ht="11.25" customHeight="1">
      <c r="A44" s="52" t="s">
        <v>115</v>
      </c>
      <c r="B44" s="116"/>
      <c r="C44" s="124">
        <v>391</v>
      </c>
      <c r="D44" s="123">
        <v>370</v>
      </c>
      <c r="E44" s="123">
        <v>449</v>
      </c>
      <c r="F44" s="123">
        <v>498</v>
      </c>
      <c r="G44" s="125">
        <v>1708</v>
      </c>
      <c r="H44" s="1"/>
      <c r="I44" s="124">
        <v>423</v>
      </c>
      <c r="J44" s="123">
        <v>411</v>
      </c>
      <c r="K44" s="123">
        <v>481</v>
      </c>
      <c r="L44" s="123">
        <v>608</v>
      </c>
      <c r="M44" s="125">
        <v>1923</v>
      </c>
      <c r="N44" s="1"/>
      <c r="O44" s="124">
        <v>626</v>
      </c>
      <c r="P44" s="123">
        <v>596</v>
      </c>
      <c r="Q44" s="123">
        <v>712</v>
      </c>
      <c r="R44" s="123">
        <v>683</v>
      </c>
      <c r="S44" s="125">
        <v>2617</v>
      </c>
      <c r="T44" s="1"/>
      <c r="U44" s="124">
        <v>572.74937999999997</v>
      </c>
      <c r="V44" s="123">
        <v>569.04175400000008</v>
      </c>
      <c r="W44" s="123">
        <v>621.18625299999985</v>
      </c>
      <c r="X44" s="246">
        <v>768.224152</v>
      </c>
      <c r="Y44" s="125">
        <v>2531.2015389999997</v>
      </c>
    </row>
    <row r="45" spans="1:25" ht="11.25" customHeight="1">
      <c r="A45" s="52" t="s">
        <v>116</v>
      </c>
      <c r="B45" s="116"/>
      <c r="C45" s="124">
        <v>353</v>
      </c>
      <c r="D45" s="123">
        <v>435</v>
      </c>
      <c r="E45" s="123">
        <v>502</v>
      </c>
      <c r="F45" s="123">
        <v>428</v>
      </c>
      <c r="G45" s="125">
        <v>1718</v>
      </c>
      <c r="H45" s="1"/>
      <c r="I45" s="124">
        <v>386</v>
      </c>
      <c r="J45" s="123">
        <v>312</v>
      </c>
      <c r="K45" s="123">
        <v>485</v>
      </c>
      <c r="L45" s="123">
        <v>407</v>
      </c>
      <c r="M45" s="125">
        <v>1590</v>
      </c>
      <c r="N45" s="1"/>
      <c r="O45" s="124">
        <v>358</v>
      </c>
      <c r="P45" s="123">
        <v>412</v>
      </c>
      <c r="Q45" s="123">
        <v>489</v>
      </c>
      <c r="R45" s="123">
        <v>413</v>
      </c>
      <c r="S45" s="125">
        <v>1672</v>
      </c>
      <c r="T45" s="1"/>
      <c r="U45" s="124">
        <v>393.32834400000002</v>
      </c>
      <c r="V45" s="123">
        <v>506.48474199999998</v>
      </c>
      <c r="W45" s="123">
        <v>564.73484399999995</v>
      </c>
      <c r="X45" s="246">
        <v>479.63735300000019</v>
      </c>
      <c r="Y45" s="125">
        <v>1944.1852830000003</v>
      </c>
    </row>
    <row r="46" spans="1:25" ht="11.25" customHeight="1">
      <c r="A46" s="52" t="s">
        <v>117</v>
      </c>
      <c r="B46" s="116"/>
      <c r="C46" s="124">
        <v>146</v>
      </c>
      <c r="D46" s="123">
        <v>130</v>
      </c>
      <c r="E46" s="123">
        <v>134</v>
      </c>
      <c r="F46" s="123">
        <v>179</v>
      </c>
      <c r="G46" s="125">
        <v>589</v>
      </c>
      <c r="H46" s="1"/>
      <c r="I46" s="124">
        <v>167</v>
      </c>
      <c r="J46" s="123">
        <v>145</v>
      </c>
      <c r="K46" s="123">
        <v>145</v>
      </c>
      <c r="L46" s="123">
        <v>188</v>
      </c>
      <c r="M46" s="125">
        <v>645</v>
      </c>
      <c r="N46" s="1"/>
      <c r="O46" s="124">
        <v>177</v>
      </c>
      <c r="P46" s="123">
        <v>156</v>
      </c>
      <c r="Q46" s="123">
        <v>117</v>
      </c>
      <c r="R46" s="123">
        <v>198</v>
      </c>
      <c r="S46" s="125">
        <v>648</v>
      </c>
      <c r="T46" s="1"/>
      <c r="U46" s="124">
        <v>181.801818</v>
      </c>
      <c r="V46" s="123">
        <v>203.91670000000002</v>
      </c>
      <c r="W46" s="123">
        <v>186.4196069999999</v>
      </c>
      <c r="X46" s="246">
        <v>218.27706800000013</v>
      </c>
      <c r="Y46" s="125">
        <v>790.41519300000004</v>
      </c>
    </row>
    <row r="47" spans="1:25">
      <c r="A47" s="77" t="s">
        <v>84</v>
      </c>
      <c r="B47" s="116"/>
      <c r="C47" s="260">
        <v>1042</v>
      </c>
      <c r="D47" s="261">
        <v>1088</v>
      </c>
      <c r="E47" s="261">
        <v>1238</v>
      </c>
      <c r="F47" s="261">
        <v>1265</v>
      </c>
      <c r="G47" s="262">
        <v>4633</v>
      </c>
      <c r="H47" s="248"/>
      <c r="I47" s="260">
        <v>1168</v>
      </c>
      <c r="J47" s="261">
        <v>1055</v>
      </c>
      <c r="K47" s="261">
        <v>1287</v>
      </c>
      <c r="L47" s="261">
        <v>1426</v>
      </c>
      <c r="M47" s="262">
        <v>4936</v>
      </c>
      <c r="N47" s="248"/>
      <c r="O47" s="260">
        <v>1364</v>
      </c>
      <c r="P47" s="261">
        <v>1379</v>
      </c>
      <c r="Q47" s="261">
        <v>1514</v>
      </c>
      <c r="R47" s="261">
        <v>1481</v>
      </c>
      <c r="S47" s="262">
        <v>5738</v>
      </c>
      <c r="T47" s="248"/>
      <c r="U47" s="260">
        <v>1393.4397869999998</v>
      </c>
      <c r="V47" s="261">
        <v>1519.3249240000002</v>
      </c>
      <c r="W47" s="261">
        <v>1586.2941019999994</v>
      </c>
      <c r="X47" s="261">
        <v>1693.3657140000003</v>
      </c>
      <c r="Y47" s="263">
        <v>6192.4245270000001</v>
      </c>
    </row>
    <row r="48" spans="1:25">
      <c r="A48" s="52" t="s">
        <v>15</v>
      </c>
      <c r="B48" s="116"/>
      <c r="C48" s="124">
        <v>417</v>
      </c>
      <c r="D48" s="123">
        <v>471</v>
      </c>
      <c r="E48" s="123">
        <v>534</v>
      </c>
      <c r="F48" s="123">
        <v>506</v>
      </c>
      <c r="G48" s="125">
        <v>1928</v>
      </c>
      <c r="H48" s="1"/>
      <c r="I48" s="124">
        <v>462</v>
      </c>
      <c r="J48" s="123">
        <v>408</v>
      </c>
      <c r="K48" s="123">
        <v>574</v>
      </c>
      <c r="L48" s="123">
        <v>598</v>
      </c>
      <c r="M48" s="125">
        <v>2042</v>
      </c>
      <c r="N48" s="1"/>
      <c r="O48" s="124">
        <v>573</v>
      </c>
      <c r="P48" s="123">
        <v>603</v>
      </c>
      <c r="Q48" s="123">
        <v>644</v>
      </c>
      <c r="R48" s="123">
        <v>592</v>
      </c>
      <c r="S48" s="125">
        <v>2412</v>
      </c>
      <c r="T48" s="1"/>
      <c r="U48" s="124">
        <v>538.31792199999995</v>
      </c>
      <c r="V48" s="123">
        <v>571.8667549999999</v>
      </c>
      <c r="W48" s="123">
        <v>602.79696999999999</v>
      </c>
      <c r="X48" s="123">
        <v>633.803494</v>
      </c>
      <c r="Y48" s="125">
        <v>2346.7851409999994</v>
      </c>
    </row>
    <row r="49" spans="1:25" s="173" customFormat="1">
      <c r="A49" s="244" t="s">
        <v>85</v>
      </c>
      <c r="B49" s="245"/>
      <c r="C49" s="58">
        <v>0.40019193857965452</v>
      </c>
      <c r="D49" s="72">
        <v>0.4329044117647059</v>
      </c>
      <c r="E49" s="72">
        <v>0.43134087237479807</v>
      </c>
      <c r="F49" s="72">
        <v>0.4</v>
      </c>
      <c r="G49" s="59">
        <v>0.4161450464062163</v>
      </c>
      <c r="H49" s="61"/>
      <c r="I49" s="58">
        <v>0.39554794520547948</v>
      </c>
      <c r="J49" s="72">
        <v>0.38672985781990521</v>
      </c>
      <c r="K49" s="72">
        <v>0.44599844599844601</v>
      </c>
      <c r="L49" s="72">
        <v>0.41935483870967744</v>
      </c>
      <c r="M49" s="59">
        <v>0.41369529983792547</v>
      </c>
      <c r="N49" s="61"/>
      <c r="O49" s="58">
        <v>0.42008797653958946</v>
      </c>
      <c r="P49" s="72">
        <v>0.43727338651196518</v>
      </c>
      <c r="Q49" s="72">
        <v>0.42536327608982827</v>
      </c>
      <c r="R49" s="72">
        <v>0.39972991222147197</v>
      </c>
      <c r="S49" s="59">
        <v>0.42035552457302194</v>
      </c>
      <c r="T49" s="61"/>
      <c r="U49" s="58">
        <v>0.38632305968453018</v>
      </c>
      <c r="V49" s="72">
        <v>0.37639529633622981</v>
      </c>
      <c r="W49" s="57">
        <v>0.3800032851663469</v>
      </c>
      <c r="X49" s="57">
        <v>0.37428624470189309</v>
      </c>
      <c r="Y49" s="59">
        <v>0.37897678538795687</v>
      </c>
    </row>
    <row r="50" spans="1:25">
      <c r="A50" s="52" t="s">
        <v>21</v>
      </c>
      <c r="B50" s="130"/>
      <c r="C50" s="124">
        <v>278</v>
      </c>
      <c r="D50" s="123">
        <v>288</v>
      </c>
      <c r="E50" s="123">
        <v>264</v>
      </c>
      <c r="F50" s="123">
        <v>290</v>
      </c>
      <c r="G50" s="125">
        <v>1120</v>
      </c>
      <c r="H50" s="1"/>
      <c r="I50" s="124">
        <v>311</v>
      </c>
      <c r="J50" s="123">
        <v>290</v>
      </c>
      <c r="K50" s="123">
        <v>258</v>
      </c>
      <c r="L50" s="123">
        <v>302</v>
      </c>
      <c r="M50" s="125">
        <v>1161</v>
      </c>
      <c r="N50" s="1"/>
      <c r="O50" s="124">
        <v>317</v>
      </c>
      <c r="P50" s="123">
        <v>325</v>
      </c>
      <c r="Q50" s="123">
        <v>307</v>
      </c>
      <c r="R50" s="123">
        <v>346</v>
      </c>
      <c r="S50" s="125">
        <v>1295</v>
      </c>
      <c r="T50" s="1"/>
      <c r="U50" s="124">
        <v>331.00399499999997</v>
      </c>
      <c r="V50" s="123">
        <v>346.66264599999994</v>
      </c>
      <c r="W50" s="123">
        <v>334.91296999999997</v>
      </c>
      <c r="X50" s="123">
        <v>388.22835299999991</v>
      </c>
      <c r="Y50" s="125">
        <v>1400.8079639999999</v>
      </c>
    </row>
    <row r="51" spans="1:25">
      <c r="A51" s="77" t="s">
        <v>25</v>
      </c>
      <c r="B51" s="116"/>
      <c r="C51" s="260">
        <v>139</v>
      </c>
      <c r="D51" s="261">
        <v>183</v>
      </c>
      <c r="E51" s="261">
        <v>270</v>
      </c>
      <c r="F51" s="261">
        <v>216</v>
      </c>
      <c r="G51" s="262">
        <v>808</v>
      </c>
      <c r="H51" s="248"/>
      <c r="I51" s="260">
        <v>151</v>
      </c>
      <c r="J51" s="261">
        <v>118</v>
      </c>
      <c r="K51" s="261">
        <v>316</v>
      </c>
      <c r="L51" s="261">
        <v>296</v>
      </c>
      <c r="M51" s="262">
        <v>881</v>
      </c>
      <c r="N51" s="248"/>
      <c r="O51" s="260">
        <v>256</v>
      </c>
      <c r="P51" s="261">
        <v>278</v>
      </c>
      <c r="Q51" s="261">
        <v>337</v>
      </c>
      <c r="R51" s="261">
        <v>246</v>
      </c>
      <c r="S51" s="262">
        <v>1117</v>
      </c>
      <c r="T51" s="248"/>
      <c r="U51" s="260">
        <v>207.31392699999998</v>
      </c>
      <c r="V51" s="261">
        <v>225.20410899999996</v>
      </c>
      <c r="W51" s="261">
        <v>267.88400000000001</v>
      </c>
      <c r="X51" s="261">
        <v>245.57514100000009</v>
      </c>
      <c r="Y51" s="263">
        <v>945.97717699999953</v>
      </c>
    </row>
    <row r="52" spans="1:25" s="60" customFormat="1">
      <c r="A52" s="54" t="s">
        <v>85</v>
      </c>
      <c r="C52" s="58">
        <v>0.13339731285988485</v>
      </c>
      <c r="D52" s="72">
        <v>0.16819852941176472</v>
      </c>
      <c r="E52" s="72">
        <v>0.21809369951534732</v>
      </c>
      <c r="F52" s="72">
        <v>0.1707509881422925</v>
      </c>
      <c r="G52" s="59">
        <v>0.17440103604575868</v>
      </c>
      <c r="H52" s="61"/>
      <c r="I52" s="58">
        <v>0.12928082191780821</v>
      </c>
      <c r="J52" s="72">
        <v>0.11184834123222749</v>
      </c>
      <c r="K52" s="72">
        <v>0.24553224553224554</v>
      </c>
      <c r="L52" s="72">
        <v>0.20757363253856942</v>
      </c>
      <c r="M52" s="59">
        <v>0.17848460291734197</v>
      </c>
      <c r="O52" s="58">
        <v>0.18768328445747801</v>
      </c>
      <c r="P52" s="72">
        <v>0.20159535895576505</v>
      </c>
      <c r="Q52" s="72">
        <v>0.22258916776750332</v>
      </c>
      <c r="R52" s="72">
        <v>0.16610398379473329</v>
      </c>
      <c r="S52" s="59">
        <v>0.19466713140467062</v>
      </c>
      <c r="U52" s="58">
        <v>0.14877853276052611</v>
      </c>
      <c r="V52" s="72">
        <v>0.14822642967449925</v>
      </c>
      <c r="W52" s="72">
        <v>0.16887410705382558</v>
      </c>
      <c r="X52" s="72">
        <v>0.14502191639389722</v>
      </c>
      <c r="Y52" s="59">
        <v>0.15276361833323632</v>
      </c>
    </row>
    <row r="53" spans="1:25">
      <c r="A53" s="52" t="s">
        <v>34</v>
      </c>
      <c r="B53" s="1"/>
      <c r="C53" s="124">
        <v>23</v>
      </c>
      <c r="D53" s="123">
        <v>23</v>
      </c>
      <c r="E53" s="123">
        <v>23</v>
      </c>
      <c r="F53" s="123">
        <v>23</v>
      </c>
      <c r="G53" s="125">
        <v>92</v>
      </c>
      <c r="H53" s="1"/>
      <c r="I53" s="124">
        <v>29</v>
      </c>
      <c r="J53" s="123">
        <v>35</v>
      </c>
      <c r="K53" s="123">
        <v>30</v>
      </c>
      <c r="L53" s="123">
        <v>29</v>
      </c>
      <c r="M53" s="125">
        <v>123</v>
      </c>
      <c r="N53" s="1"/>
      <c r="O53" s="124">
        <v>28</v>
      </c>
      <c r="P53" s="123">
        <v>27</v>
      </c>
      <c r="Q53" s="123">
        <v>25</v>
      </c>
      <c r="R53" s="123">
        <v>29</v>
      </c>
      <c r="S53" s="125">
        <v>109</v>
      </c>
      <c r="T53" s="1"/>
      <c r="U53" s="124">
        <v>21.783226333333335</v>
      </c>
      <c r="V53" s="123">
        <v>21.270752333333331</v>
      </c>
      <c r="W53" s="123">
        <v>22.221273000000043</v>
      </c>
      <c r="X53" s="123">
        <v>15.9971536666666</v>
      </c>
      <c r="Y53" s="253">
        <v>81.27240533333331</v>
      </c>
    </row>
    <row r="54" spans="1:25">
      <c r="A54" s="52" t="s">
        <v>35</v>
      </c>
      <c r="B54" s="1"/>
      <c r="C54" s="131">
        <v>116</v>
      </c>
      <c r="D54" s="133">
        <v>160</v>
      </c>
      <c r="E54" s="133">
        <v>247</v>
      </c>
      <c r="F54" s="133">
        <v>193</v>
      </c>
      <c r="G54" s="132">
        <v>716</v>
      </c>
      <c r="H54" s="1"/>
      <c r="I54" s="131">
        <v>122</v>
      </c>
      <c r="J54" s="133">
        <v>83</v>
      </c>
      <c r="K54" s="133">
        <v>286</v>
      </c>
      <c r="L54" s="133">
        <v>267</v>
      </c>
      <c r="M54" s="132">
        <v>758</v>
      </c>
      <c r="N54" s="1"/>
      <c r="O54" s="131">
        <v>228</v>
      </c>
      <c r="P54" s="133">
        <v>251</v>
      </c>
      <c r="Q54" s="133">
        <v>312</v>
      </c>
      <c r="R54" s="133">
        <v>217</v>
      </c>
      <c r="S54" s="132">
        <v>1008</v>
      </c>
      <c r="T54" s="1"/>
      <c r="U54" s="131">
        <v>185.53070066666663</v>
      </c>
      <c r="V54" s="133">
        <v>203.93335666666664</v>
      </c>
      <c r="W54" s="133">
        <v>245.66272699999996</v>
      </c>
      <c r="X54" s="133">
        <v>229.57798733333348</v>
      </c>
      <c r="Y54" s="132">
        <v>864.70477166666626</v>
      </c>
    </row>
    <row r="55" spans="1:25" s="60" customFormat="1">
      <c r="A55" s="54" t="s">
        <v>85</v>
      </c>
      <c r="C55" s="58">
        <v>0.11132437619961612</v>
      </c>
      <c r="D55" s="72">
        <v>0.14705882352941177</v>
      </c>
      <c r="E55" s="72">
        <v>0.19951534733441034</v>
      </c>
      <c r="F55" s="72">
        <v>0.15256916996047432</v>
      </c>
      <c r="G55" s="59">
        <v>0.15454349233757825</v>
      </c>
      <c r="I55" s="58">
        <v>0.10445205479452055</v>
      </c>
      <c r="J55" s="72">
        <v>7.8672985781990515E-2</v>
      </c>
      <c r="K55" s="72">
        <v>0.22222222222222221</v>
      </c>
      <c r="L55" s="72">
        <v>0.18723702664796635</v>
      </c>
      <c r="M55" s="59">
        <v>0.15356564019448946</v>
      </c>
      <c r="O55" s="58">
        <v>0.16715542521994134</v>
      </c>
      <c r="P55" s="72">
        <v>0.18201595358955766</v>
      </c>
      <c r="Q55" s="72">
        <v>0.20607661822985468</v>
      </c>
      <c r="R55" s="72">
        <v>0.14652261985145174</v>
      </c>
      <c r="S55" s="59">
        <v>0.17567096549320321</v>
      </c>
      <c r="U55" s="58">
        <v>0.13314583263486696</v>
      </c>
      <c r="V55" s="72">
        <v>0.13422629580100709</v>
      </c>
      <c r="W55" s="72">
        <v>0.15486581377959385</v>
      </c>
      <c r="X55" s="72">
        <v>0.13557495905065517</v>
      </c>
      <c r="Y55" s="59">
        <v>0.13963912969732772</v>
      </c>
    </row>
    <row r="56" spans="1:25" ht="5.25" customHeight="1">
      <c r="A56" s="52"/>
      <c r="B56" s="134"/>
      <c r="C56" s="135"/>
      <c r="D56" s="134"/>
      <c r="E56" s="134"/>
      <c r="F56" s="134"/>
      <c r="G56" s="125"/>
      <c r="H56" s="1"/>
      <c r="I56" s="135"/>
      <c r="J56" s="134"/>
      <c r="K56" s="134"/>
      <c r="L56" s="134"/>
      <c r="M56" s="136"/>
      <c r="N56" s="1"/>
      <c r="O56" s="135"/>
      <c r="P56" s="134"/>
      <c r="Q56" s="134"/>
      <c r="R56" s="134"/>
      <c r="S56" s="136"/>
      <c r="T56" s="1"/>
      <c r="U56" s="135"/>
      <c r="V56" s="134"/>
      <c r="W56" s="134"/>
      <c r="X56" s="134"/>
      <c r="Y56" s="136"/>
    </row>
    <row r="57" spans="1:25">
      <c r="A57" s="53" t="s">
        <v>118</v>
      </c>
      <c r="B57" s="134"/>
      <c r="C57" s="135"/>
      <c r="D57" s="134"/>
      <c r="E57" s="134"/>
      <c r="F57" s="134"/>
      <c r="G57" s="125"/>
      <c r="H57" s="1"/>
      <c r="I57" s="135"/>
      <c r="J57" s="134"/>
      <c r="K57" s="134"/>
      <c r="L57" s="134"/>
      <c r="M57" s="136"/>
      <c r="N57" s="1"/>
      <c r="O57" s="135"/>
      <c r="P57" s="134"/>
      <c r="Q57" s="134"/>
      <c r="R57" s="134"/>
      <c r="S57" s="136"/>
      <c r="T57" s="1"/>
      <c r="U57" s="135"/>
      <c r="V57" s="134"/>
      <c r="W57" s="134"/>
      <c r="X57" s="134"/>
      <c r="Y57" s="136"/>
    </row>
    <row r="58" spans="1:25">
      <c r="A58" s="52" t="s">
        <v>119</v>
      </c>
      <c r="B58" s="134"/>
      <c r="C58" s="124">
        <v>233</v>
      </c>
      <c r="D58" s="123">
        <v>264</v>
      </c>
      <c r="E58" s="123">
        <v>277</v>
      </c>
      <c r="F58" s="123">
        <v>226</v>
      </c>
      <c r="G58" s="125">
        <v>1000</v>
      </c>
      <c r="H58" s="91"/>
      <c r="I58" s="124">
        <v>278</v>
      </c>
      <c r="J58" s="123">
        <v>231</v>
      </c>
      <c r="K58" s="123">
        <v>285</v>
      </c>
      <c r="L58" s="123">
        <v>247</v>
      </c>
      <c r="M58" s="125">
        <v>1041</v>
      </c>
      <c r="N58" s="1"/>
      <c r="O58" s="124">
        <v>200</v>
      </c>
      <c r="P58" s="123">
        <v>264</v>
      </c>
      <c r="Q58" s="123">
        <v>301</v>
      </c>
      <c r="R58" s="123">
        <v>386</v>
      </c>
      <c r="S58" s="125">
        <v>1151</v>
      </c>
      <c r="T58" s="1"/>
      <c r="U58" s="124">
        <v>308.739284</v>
      </c>
      <c r="V58" s="123">
        <v>363.40939000000003</v>
      </c>
      <c r="W58" s="123">
        <v>376.31779000000006</v>
      </c>
      <c r="X58" s="246">
        <v>383.65226899999999</v>
      </c>
      <c r="Y58" s="125">
        <v>1432.118733</v>
      </c>
    </row>
    <row r="59" spans="1:25">
      <c r="A59" s="52" t="s">
        <v>116</v>
      </c>
      <c r="B59" s="134"/>
      <c r="C59" s="124">
        <v>78</v>
      </c>
      <c r="D59" s="123">
        <v>28</v>
      </c>
      <c r="E59" s="123">
        <v>42</v>
      </c>
      <c r="F59" s="123">
        <v>53</v>
      </c>
      <c r="G59" s="125">
        <v>201</v>
      </c>
      <c r="H59" s="91"/>
      <c r="I59" s="124">
        <v>81</v>
      </c>
      <c r="J59" s="123">
        <v>14</v>
      </c>
      <c r="K59" s="123">
        <v>28</v>
      </c>
      <c r="L59" s="123">
        <v>55</v>
      </c>
      <c r="M59" s="125">
        <v>178</v>
      </c>
      <c r="N59" s="1"/>
      <c r="O59" s="124">
        <v>48</v>
      </c>
      <c r="P59" s="123">
        <v>38</v>
      </c>
      <c r="Q59" s="123">
        <v>82</v>
      </c>
      <c r="R59" s="123">
        <v>81</v>
      </c>
      <c r="S59" s="125">
        <v>249</v>
      </c>
      <c r="T59" s="1"/>
      <c r="U59" s="124">
        <v>83.835657999999995</v>
      </c>
      <c r="V59" s="123">
        <v>65.617095000000006</v>
      </c>
      <c r="W59" s="123">
        <v>86.948115000000001</v>
      </c>
      <c r="X59" s="246">
        <v>123.74787600000001</v>
      </c>
      <c r="Y59" s="125">
        <v>360.14874400000002</v>
      </c>
    </row>
    <row r="60" spans="1:25">
      <c r="A60" s="52" t="s">
        <v>120</v>
      </c>
      <c r="B60" s="134"/>
      <c r="C60" s="124">
        <v>4</v>
      </c>
      <c r="D60" s="123">
        <v>8</v>
      </c>
      <c r="E60" s="123">
        <v>6</v>
      </c>
      <c r="F60" s="123">
        <v>6</v>
      </c>
      <c r="G60" s="125">
        <v>24</v>
      </c>
      <c r="H60" s="91"/>
      <c r="I60" s="124">
        <v>3</v>
      </c>
      <c r="J60" s="123">
        <v>3</v>
      </c>
      <c r="K60" s="123">
        <v>6</v>
      </c>
      <c r="L60" s="123">
        <v>6</v>
      </c>
      <c r="M60" s="125">
        <v>18</v>
      </c>
      <c r="N60" s="1"/>
      <c r="O60" s="124">
        <v>17</v>
      </c>
      <c r="P60" s="123">
        <v>2</v>
      </c>
      <c r="Q60" s="123">
        <v>10</v>
      </c>
      <c r="R60" s="123">
        <v>2</v>
      </c>
      <c r="S60" s="125">
        <v>31</v>
      </c>
      <c r="T60" s="1"/>
      <c r="U60" s="124">
        <v>10.032323999999999</v>
      </c>
      <c r="V60" s="123">
        <v>24.705296999999998</v>
      </c>
      <c r="W60" s="123">
        <v>15.579902000000008</v>
      </c>
      <c r="X60" s="246">
        <v>4.0992379999999962</v>
      </c>
      <c r="Y60" s="125">
        <v>54.416761000000008</v>
      </c>
    </row>
    <row r="61" spans="1:25">
      <c r="A61" s="52" t="s">
        <v>121</v>
      </c>
      <c r="B61" s="134"/>
      <c r="C61" s="124">
        <v>74</v>
      </c>
      <c r="D61" s="123">
        <v>82</v>
      </c>
      <c r="E61" s="123">
        <v>56</v>
      </c>
      <c r="F61" s="123">
        <v>91</v>
      </c>
      <c r="G61" s="125">
        <v>303</v>
      </c>
      <c r="H61" s="91"/>
      <c r="I61" s="124">
        <v>75</v>
      </c>
      <c r="J61" s="123">
        <v>63</v>
      </c>
      <c r="K61" s="123">
        <v>72</v>
      </c>
      <c r="L61" s="123">
        <v>79</v>
      </c>
      <c r="M61" s="125">
        <v>289</v>
      </c>
      <c r="N61" s="1"/>
      <c r="O61" s="124">
        <v>30</v>
      </c>
      <c r="P61" s="123">
        <v>99</v>
      </c>
      <c r="Q61" s="123">
        <v>58</v>
      </c>
      <c r="R61" s="123">
        <v>103</v>
      </c>
      <c r="S61" s="125">
        <v>290</v>
      </c>
      <c r="T61" s="1"/>
      <c r="U61" s="124">
        <v>47.031362000000001</v>
      </c>
      <c r="V61" s="123">
        <v>60.544477999999998</v>
      </c>
      <c r="W61" s="123">
        <v>95.314040000000006</v>
      </c>
      <c r="X61" s="246">
        <v>114.924595</v>
      </c>
      <c r="Y61" s="125">
        <v>317.81447500000002</v>
      </c>
    </row>
    <row r="62" spans="1:25">
      <c r="A62" s="52" t="s">
        <v>122</v>
      </c>
      <c r="B62" s="134"/>
      <c r="C62" s="124">
        <v>23</v>
      </c>
      <c r="D62" s="123">
        <v>11</v>
      </c>
      <c r="E62" s="123">
        <v>8</v>
      </c>
      <c r="F62" s="123">
        <v>7</v>
      </c>
      <c r="G62" s="125">
        <v>49</v>
      </c>
      <c r="H62" s="91"/>
      <c r="I62" s="124">
        <v>29</v>
      </c>
      <c r="J62" s="123">
        <v>6</v>
      </c>
      <c r="K62" s="123">
        <v>4</v>
      </c>
      <c r="L62" s="123">
        <v>9</v>
      </c>
      <c r="M62" s="125">
        <v>48</v>
      </c>
      <c r="N62" s="1"/>
      <c r="O62" s="124">
        <v>3</v>
      </c>
      <c r="P62" s="123">
        <v>22</v>
      </c>
      <c r="Q62" s="123">
        <v>18</v>
      </c>
      <c r="R62" s="123">
        <v>30</v>
      </c>
      <c r="S62" s="125">
        <v>73</v>
      </c>
      <c r="T62" s="1"/>
      <c r="U62" s="124">
        <v>21.081962000000001</v>
      </c>
      <c r="V62" s="123">
        <v>21.2957</v>
      </c>
      <c r="W62" s="123">
        <v>22.114597999999997</v>
      </c>
      <c r="X62" s="246">
        <v>20.484075000000008</v>
      </c>
      <c r="Y62" s="125">
        <v>84.976335000000006</v>
      </c>
    </row>
    <row r="63" spans="1:25">
      <c r="A63" s="52" t="s">
        <v>123</v>
      </c>
      <c r="B63" s="134"/>
      <c r="C63" s="124">
        <v>20</v>
      </c>
      <c r="D63" s="123">
        <v>33</v>
      </c>
      <c r="E63" s="123">
        <v>32</v>
      </c>
      <c r="F63" s="123">
        <v>30</v>
      </c>
      <c r="G63" s="125">
        <v>115</v>
      </c>
      <c r="H63" s="91"/>
      <c r="I63" s="124">
        <v>19</v>
      </c>
      <c r="J63" s="123">
        <v>37</v>
      </c>
      <c r="K63" s="123">
        <v>22</v>
      </c>
      <c r="L63" s="123">
        <v>42</v>
      </c>
      <c r="M63" s="125">
        <v>120</v>
      </c>
      <c r="N63" s="1"/>
      <c r="O63" s="124">
        <v>20</v>
      </c>
      <c r="P63" s="123">
        <v>14</v>
      </c>
      <c r="Q63" s="123">
        <v>24</v>
      </c>
      <c r="R63" s="123">
        <v>29</v>
      </c>
      <c r="S63" s="125">
        <v>87</v>
      </c>
      <c r="T63" s="1"/>
      <c r="U63" s="124">
        <v>18.717849000000001</v>
      </c>
      <c r="V63" s="123">
        <v>16.156877000000001</v>
      </c>
      <c r="W63" s="123">
        <v>57.356103999999995</v>
      </c>
      <c r="X63" s="246">
        <v>33.874547</v>
      </c>
      <c r="Y63" s="125">
        <v>126.105377</v>
      </c>
    </row>
    <row r="64" spans="1:25">
      <c r="A64" s="77" t="s">
        <v>84</v>
      </c>
      <c r="B64" s="134"/>
      <c r="C64" s="260">
        <v>432</v>
      </c>
      <c r="D64" s="261">
        <v>426</v>
      </c>
      <c r="E64" s="261">
        <v>421</v>
      </c>
      <c r="F64" s="261">
        <v>413</v>
      </c>
      <c r="G64" s="262">
        <v>1692</v>
      </c>
      <c r="H64" s="248"/>
      <c r="I64" s="260">
        <v>485</v>
      </c>
      <c r="J64" s="261">
        <v>354</v>
      </c>
      <c r="K64" s="261">
        <v>417</v>
      </c>
      <c r="L64" s="261">
        <v>438</v>
      </c>
      <c r="M64" s="262">
        <v>1694</v>
      </c>
      <c r="N64" s="248"/>
      <c r="O64" s="260">
        <v>318</v>
      </c>
      <c r="P64" s="261">
        <v>439</v>
      </c>
      <c r="Q64" s="261">
        <v>493</v>
      </c>
      <c r="R64" s="261">
        <v>631</v>
      </c>
      <c r="S64" s="262">
        <v>1881</v>
      </c>
      <c r="T64" s="248"/>
      <c r="U64" s="260">
        <v>489.43843899999996</v>
      </c>
      <c r="V64" s="261">
        <v>551.728837</v>
      </c>
      <c r="W64" s="261">
        <v>653.63054900000009</v>
      </c>
      <c r="X64" s="261">
        <v>680.7826</v>
      </c>
      <c r="Y64" s="263">
        <v>2375.5804249999997</v>
      </c>
    </row>
    <row r="65" spans="1:25">
      <c r="A65" s="52" t="s">
        <v>15</v>
      </c>
      <c r="B65" s="134"/>
      <c r="C65" s="124">
        <v>227</v>
      </c>
      <c r="D65" s="123">
        <v>228</v>
      </c>
      <c r="E65" s="123">
        <v>227</v>
      </c>
      <c r="F65" s="123">
        <v>206</v>
      </c>
      <c r="G65" s="125">
        <v>888</v>
      </c>
      <c r="H65" s="1"/>
      <c r="I65" s="124">
        <v>249</v>
      </c>
      <c r="J65" s="123">
        <v>193</v>
      </c>
      <c r="K65" s="123">
        <v>231</v>
      </c>
      <c r="L65" s="123">
        <v>237</v>
      </c>
      <c r="M65" s="125">
        <v>910</v>
      </c>
      <c r="N65" s="1"/>
      <c r="O65" s="124">
        <v>159</v>
      </c>
      <c r="P65" s="123">
        <v>234</v>
      </c>
      <c r="Q65" s="123">
        <v>265</v>
      </c>
      <c r="R65" s="123">
        <v>338</v>
      </c>
      <c r="S65" s="125">
        <v>996</v>
      </c>
      <c r="T65" s="1"/>
      <c r="U65" s="124">
        <v>236.198992</v>
      </c>
      <c r="V65" s="123">
        <v>272.75409700000006</v>
      </c>
      <c r="W65" s="123">
        <v>338.99183499999998</v>
      </c>
      <c r="X65" s="123">
        <v>346.92661500000025</v>
      </c>
      <c r="Y65" s="125">
        <v>1194.8715390000004</v>
      </c>
    </row>
    <row r="66" spans="1:25" s="173" customFormat="1">
      <c r="A66" s="244" t="s">
        <v>85</v>
      </c>
      <c r="B66" s="245"/>
      <c r="C66" s="58">
        <v>0.52546296296296291</v>
      </c>
      <c r="D66" s="72">
        <v>0.53521126760563376</v>
      </c>
      <c r="E66" s="72">
        <v>0.53919239904988125</v>
      </c>
      <c r="F66" s="72">
        <v>0.49878934624697335</v>
      </c>
      <c r="G66" s="59">
        <v>0.52482269503546097</v>
      </c>
      <c r="H66" s="61"/>
      <c r="I66" s="58">
        <v>0.51340206185567006</v>
      </c>
      <c r="J66" s="72">
        <v>0.54519774011299438</v>
      </c>
      <c r="K66" s="72">
        <v>0.5539568345323741</v>
      </c>
      <c r="L66" s="72">
        <v>0.54109589041095896</v>
      </c>
      <c r="M66" s="59">
        <v>0.53719008264462809</v>
      </c>
      <c r="N66" s="61"/>
      <c r="O66" s="58">
        <v>0.5</v>
      </c>
      <c r="P66" s="72">
        <v>0.53302961275626426</v>
      </c>
      <c r="Q66" s="72">
        <v>0.53752535496957399</v>
      </c>
      <c r="R66" s="72">
        <v>0.53565768621236132</v>
      </c>
      <c r="S66" s="59">
        <v>0.52950558213716103</v>
      </c>
      <c r="T66" s="61"/>
      <c r="U66" s="58">
        <v>0.48259183010347911</v>
      </c>
      <c r="V66" s="72">
        <v>0.4943625902954209</v>
      </c>
      <c r="W66" s="72">
        <v>0.51862911780764998</v>
      </c>
      <c r="X66" s="72">
        <v>0.50959970921701037</v>
      </c>
      <c r="Y66" s="59">
        <v>0.50298088266155028</v>
      </c>
    </row>
    <row r="67" spans="1:25">
      <c r="A67" s="52" t="s">
        <v>21</v>
      </c>
      <c r="B67" s="130"/>
      <c r="C67" s="124">
        <v>120</v>
      </c>
      <c r="D67" s="139">
        <v>120</v>
      </c>
      <c r="E67" s="123">
        <v>131</v>
      </c>
      <c r="F67" s="123">
        <v>132</v>
      </c>
      <c r="G67" s="125">
        <v>503</v>
      </c>
      <c r="H67" s="1"/>
      <c r="I67" s="138">
        <v>137</v>
      </c>
      <c r="J67" s="123">
        <v>129</v>
      </c>
      <c r="K67" s="123">
        <v>133</v>
      </c>
      <c r="L67" s="123">
        <v>135</v>
      </c>
      <c r="M67" s="125">
        <v>534</v>
      </c>
      <c r="N67" s="1"/>
      <c r="O67" s="138">
        <v>136</v>
      </c>
      <c r="P67" s="123">
        <v>140</v>
      </c>
      <c r="Q67" s="123">
        <v>146</v>
      </c>
      <c r="R67" s="123">
        <v>160</v>
      </c>
      <c r="S67" s="141">
        <v>582</v>
      </c>
      <c r="T67" s="1"/>
      <c r="U67" s="138">
        <v>146.26863499999999</v>
      </c>
      <c r="V67" s="123">
        <v>172.33785499999999</v>
      </c>
      <c r="W67" s="123">
        <v>176.93615500000001</v>
      </c>
      <c r="X67" s="123">
        <v>206.22248299999998</v>
      </c>
      <c r="Y67" s="141">
        <v>701.765128</v>
      </c>
    </row>
    <row r="68" spans="1:25">
      <c r="A68" s="77" t="s">
        <v>25</v>
      </c>
      <c r="B68" s="116"/>
      <c r="C68" s="260">
        <v>107</v>
      </c>
      <c r="D68" s="261">
        <v>108</v>
      </c>
      <c r="E68" s="261">
        <v>96</v>
      </c>
      <c r="F68" s="261">
        <v>74</v>
      </c>
      <c r="G68" s="262">
        <v>385</v>
      </c>
      <c r="H68" s="248"/>
      <c r="I68" s="260">
        <v>112</v>
      </c>
      <c r="J68" s="261">
        <v>64</v>
      </c>
      <c r="K68" s="261">
        <v>98</v>
      </c>
      <c r="L68" s="261">
        <v>102</v>
      </c>
      <c r="M68" s="262">
        <v>376</v>
      </c>
      <c r="N68" s="248"/>
      <c r="O68" s="260">
        <v>23</v>
      </c>
      <c r="P68" s="261">
        <v>94</v>
      </c>
      <c r="Q68" s="261">
        <v>119</v>
      </c>
      <c r="R68" s="261">
        <v>178</v>
      </c>
      <c r="S68" s="262">
        <v>414</v>
      </c>
      <c r="T68" s="248"/>
      <c r="U68" s="260">
        <v>89.930357000000015</v>
      </c>
      <c r="V68" s="261">
        <v>100.41624200000007</v>
      </c>
      <c r="W68" s="261">
        <v>162.05567999999997</v>
      </c>
      <c r="X68" s="261">
        <v>140.70413200000027</v>
      </c>
      <c r="Y68" s="263">
        <v>493.10641100000043</v>
      </c>
    </row>
    <row r="69" spans="1:25" s="60" customFormat="1">
      <c r="A69" s="54" t="s">
        <v>85</v>
      </c>
      <c r="B69" s="57"/>
      <c r="C69" s="58">
        <v>0.24768518518518517</v>
      </c>
      <c r="D69" s="72">
        <v>0.25352112676056338</v>
      </c>
      <c r="E69" s="72">
        <v>0.22802850356294538</v>
      </c>
      <c r="F69" s="72">
        <v>0.1791767554479419</v>
      </c>
      <c r="G69" s="59">
        <v>0.22754137115839243</v>
      </c>
      <c r="H69" s="61"/>
      <c r="I69" s="58">
        <v>0.2309278350515464</v>
      </c>
      <c r="J69" s="72">
        <v>0.1807909604519774</v>
      </c>
      <c r="K69" s="72">
        <v>0.23501199040767387</v>
      </c>
      <c r="L69" s="72">
        <v>0.23287671232876711</v>
      </c>
      <c r="M69" s="59">
        <v>0.22195985832349469</v>
      </c>
      <c r="O69" s="58">
        <v>7.2327044025157231E-2</v>
      </c>
      <c r="P69" s="72">
        <v>0.21412300683371299</v>
      </c>
      <c r="Q69" s="72">
        <v>0.2413793103448276</v>
      </c>
      <c r="R69" s="72">
        <v>0.28209191759112517</v>
      </c>
      <c r="S69" s="59">
        <v>0.22009569377990432</v>
      </c>
      <c r="U69" s="58">
        <v>0.18374191692777939</v>
      </c>
      <c r="V69" s="72">
        <v>0.18200288849502363</v>
      </c>
      <c r="W69" s="72">
        <v>0.24793161863063404</v>
      </c>
      <c r="X69" s="72">
        <v>0.20667997683842135</v>
      </c>
      <c r="Y69" s="59">
        <v>0.20757302333807559</v>
      </c>
    </row>
    <row r="70" spans="1:25">
      <c r="A70" s="52" t="s">
        <v>34</v>
      </c>
      <c r="B70" s="1"/>
      <c r="C70" s="142">
        <v>4</v>
      </c>
      <c r="D70" s="123">
        <v>4</v>
      </c>
      <c r="E70" s="123">
        <v>4</v>
      </c>
      <c r="F70" s="123">
        <v>4</v>
      </c>
      <c r="G70" s="144">
        <v>16</v>
      </c>
      <c r="H70" s="1"/>
      <c r="I70" s="142">
        <v>4</v>
      </c>
      <c r="J70" s="123">
        <v>3</v>
      </c>
      <c r="K70" s="123">
        <v>3</v>
      </c>
      <c r="L70" s="123">
        <v>3</v>
      </c>
      <c r="M70" s="125">
        <v>13</v>
      </c>
      <c r="N70" s="1"/>
      <c r="O70" s="142">
        <v>4</v>
      </c>
      <c r="P70" s="123">
        <v>4</v>
      </c>
      <c r="Q70" s="123">
        <v>4</v>
      </c>
      <c r="R70" s="123">
        <v>4</v>
      </c>
      <c r="S70" s="144">
        <v>16</v>
      </c>
      <c r="T70" s="1"/>
      <c r="U70" s="142">
        <v>5.5824253333333331</v>
      </c>
      <c r="V70" s="123">
        <v>5.6701713333333323</v>
      </c>
      <c r="W70" s="123">
        <v>5.6888350000000329</v>
      </c>
      <c r="X70" s="123">
        <v>8.6047606666666319</v>
      </c>
      <c r="Y70" s="144">
        <v>25.54619233333333</v>
      </c>
    </row>
    <row r="71" spans="1:25">
      <c r="A71" s="52" t="s">
        <v>35</v>
      </c>
      <c r="B71" s="1"/>
      <c r="C71" s="131">
        <v>103</v>
      </c>
      <c r="D71" s="133">
        <v>104</v>
      </c>
      <c r="E71" s="133">
        <v>92</v>
      </c>
      <c r="F71" s="133">
        <v>70</v>
      </c>
      <c r="G71" s="132">
        <v>369</v>
      </c>
      <c r="H71" s="1"/>
      <c r="I71" s="131">
        <v>108</v>
      </c>
      <c r="J71" s="133">
        <v>61</v>
      </c>
      <c r="K71" s="133">
        <v>95</v>
      </c>
      <c r="L71" s="133">
        <v>99</v>
      </c>
      <c r="M71" s="132">
        <v>363</v>
      </c>
      <c r="N71" s="1"/>
      <c r="O71" s="131">
        <v>19</v>
      </c>
      <c r="P71" s="133">
        <v>90</v>
      </c>
      <c r="Q71" s="133">
        <v>115</v>
      </c>
      <c r="R71" s="133">
        <v>174</v>
      </c>
      <c r="S71" s="132">
        <v>398</v>
      </c>
      <c r="T71" s="1"/>
      <c r="U71" s="131">
        <v>84.347931666666682</v>
      </c>
      <c r="V71" s="133">
        <v>94.746070666666739</v>
      </c>
      <c r="W71" s="133">
        <v>156.36684499999993</v>
      </c>
      <c r="X71" s="133">
        <v>132.09937133333364</v>
      </c>
      <c r="Y71" s="132">
        <v>467.56021866666708</v>
      </c>
    </row>
    <row r="72" spans="1:25" s="60" customFormat="1">
      <c r="A72" s="54" t="s">
        <v>85</v>
      </c>
      <c r="C72" s="58">
        <v>0.23842592592592593</v>
      </c>
      <c r="D72" s="72">
        <v>0.24413145539906103</v>
      </c>
      <c r="E72" s="72">
        <v>0.21852731591448932</v>
      </c>
      <c r="F72" s="72">
        <v>0.16949152542372881</v>
      </c>
      <c r="G72" s="59">
        <v>0.21808510638297873</v>
      </c>
      <c r="I72" s="58">
        <v>0.22268041237113403</v>
      </c>
      <c r="J72" s="72">
        <v>0.17231638418079095</v>
      </c>
      <c r="K72" s="72">
        <v>0.22781774580335731</v>
      </c>
      <c r="L72" s="72">
        <v>0.22602739726027396</v>
      </c>
      <c r="M72" s="59">
        <v>0.21428571428571427</v>
      </c>
      <c r="O72" s="58">
        <v>5.9748427672955975E-2</v>
      </c>
      <c r="P72" s="72">
        <v>0.20501138952164008</v>
      </c>
      <c r="Q72" s="72">
        <v>0.23326572008113591</v>
      </c>
      <c r="R72" s="72">
        <v>0.27575277337559428</v>
      </c>
      <c r="S72" s="59">
        <v>0.21158958001063263</v>
      </c>
      <c r="U72" s="58">
        <v>0.17233614065744984</v>
      </c>
      <c r="V72" s="72">
        <v>0.17172579048404304</v>
      </c>
      <c r="W72" s="72">
        <v>0.23922817750673997</v>
      </c>
      <c r="X72" s="72">
        <v>0.1940404636272044</v>
      </c>
      <c r="Y72" s="59">
        <v>0.19681935991144867</v>
      </c>
    </row>
    <row r="73" spans="1:25" ht="5.25" customHeight="1">
      <c r="A73" s="52"/>
      <c r="B73" s="130"/>
      <c r="C73" s="146"/>
      <c r="D73" s="148"/>
      <c r="E73" s="148"/>
      <c r="F73" s="148"/>
      <c r="G73" s="147"/>
      <c r="H73" s="1"/>
      <c r="I73" s="146"/>
      <c r="J73" s="148"/>
      <c r="K73" s="148"/>
      <c r="L73" s="148"/>
      <c r="M73" s="147"/>
      <c r="N73" s="1"/>
      <c r="O73" s="146"/>
      <c r="P73" s="148"/>
      <c r="Q73" s="148"/>
      <c r="R73" s="148"/>
      <c r="S73" s="147"/>
      <c r="T73" s="1"/>
      <c r="U73" s="146"/>
      <c r="V73" s="148"/>
      <c r="W73" s="148"/>
      <c r="X73" s="148"/>
      <c r="Y73" s="147"/>
    </row>
    <row r="74" spans="1:25">
      <c r="A74" s="53" t="s">
        <v>124</v>
      </c>
      <c r="B74" s="134"/>
      <c r="C74" s="135"/>
      <c r="D74" s="134"/>
      <c r="E74" s="134"/>
      <c r="F74" s="134"/>
      <c r="G74" s="125"/>
      <c r="H74" s="1"/>
      <c r="I74" s="135"/>
      <c r="J74" s="134"/>
      <c r="K74" s="134"/>
      <c r="L74" s="134"/>
      <c r="M74" s="136"/>
      <c r="N74" s="1"/>
      <c r="O74" s="135"/>
      <c r="P74" s="134"/>
      <c r="Q74" s="134"/>
      <c r="R74" s="134"/>
      <c r="S74" s="136"/>
      <c r="T74" s="1"/>
      <c r="U74" s="135"/>
      <c r="V74" s="134"/>
      <c r="W74" s="134"/>
      <c r="X74" s="134"/>
      <c r="Y74" s="136"/>
    </row>
    <row r="75" spans="1:25">
      <c r="A75" s="52" t="s">
        <v>119</v>
      </c>
      <c r="B75" s="134"/>
      <c r="C75" s="124">
        <v>170</v>
      </c>
      <c r="D75" s="123">
        <v>218</v>
      </c>
      <c r="E75" s="123">
        <v>182</v>
      </c>
      <c r="F75" s="123">
        <v>197</v>
      </c>
      <c r="G75" s="125">
        <v>767</v>
      </c>
      <c r="H75" s="91"/>
      <c r="I75" s="124">
        <v>195</v>
      </c>
      <c r="J75" s="123">
        <v>267</v>
      </c>
      <c r="K75" s="123">
        <v>219</v>
      </c>
      <c r="L75" s="123">
        <v>194</v>
      </c>
      <c r="M75" s="125">
        <v>875</v>
      </c>
      <c r="N75" s="1"/>
      <c r="O75" s="124">
        <v>188</v>
      </c>
      <c r="P75" s="123">
        <v>254</v>
      </c>
      <c r="Q75" s="123">
        <v>295</v>
      </c>
      <c r="R75" s="123">
        <v>174</v>
      </c>
      <c r="S75" s="125">
        <v>911</v>
      </c>
      <c r="T75" s="1"/>
      <c r="U75" s="124">
        <v>140.23157499999999</v>
      </c>
      <c r="V75" s="123">
        <v>288.93310099999997</v>
      </c>
      <c r="W75" s="123">
        <v>287.45455700000002</v>
      </c>
      <c r="X75" s="246">
        <v>316.21494599999994</v>
      </c>
      <c r="Y75" s="125">
        <v>1032.8341789999999</v>
      </c>
    </row>
    <row r="76" spans="1:25">
      <c r="A76" s="52" t="s">
        <v>116</v>
      </c>
      <c r="B76" s="134"/>
      <c r="C76" s="124">
        <v>248</v>
      </c>
      <c r="D76" s="123">
        <v>342</v>
      </c>
      <c r="E76" s="123">
        <v>303</v>
      </c>
      <c r="F76" s="123">
        <v>277</v>
      </c>
      <c r="G76" s="125">
        <v>1170</v>
      </c>
      <c r="H76" s="91"/>
      <c r="I76" s="124">
        <v>254</v>
      </c>
      <c r="J76" s="123">
        <v>409</v>
      </c>
      <c r="K76" s="123">
        <v>291</v>
      </c>
      <c r="L76" s="123">
        <v>268</v>
      </c>
      <c r="M76" s="125">
        <v>1222</v>
      </c>
      <c r="N76" s="1"/>
      <c r="O76" s="124">
        <v>215</v>
      </c>
      <c r="P76" s="123">
        <v>409</v>
      </c>
      <c r="Q76" s="123">
        <v>213</v>
      </c>
      <c r="R76" s="123">
        <v>271</v>
      </c>
      <c r="S76" s="125">
        <v>1108</v>
      </c>
      <c r="T76" s="1"/>
      <c r="U76" s="124">
        <v>269.87845199999998</v>
      </c>
      <c r="V76" s="123">
        <v>432.56220400000001</v>
      </c>
      <c r="W76" s="123">
        <v>240.425409</v>
      </c>
      <c r="X76" s="246">
        <v>349.61581700000005</v>
      </c>
      <c r="Y76" s="125">
        <v>1292.481882</v>
      </c>
    </row>
    <row r="77" spans="1:25">
      <c r="A77" s="52" t="s">
        <v>120</v>
      </c>
      <c r="B77" s="134"/>
      <c r="C77" s="124">
        <v>29</v>
      </c>
      <c r="D77" s="123">
        <v>50</v>
      </c>
      <c r="E77" s="123">
        <v>47</v>
      </c>
      <c r="F77" s="123">
        <v>130</v>
      </c>
      <c r="G77" s="125">
        <v>256</v>
      </c>
      <c r="H77" s="91"/>
      <c r="I77" s="124">
        <v>20</v>
      </c>
      <c r="J77" s="123">
        <v>26</v>
      </c>
      <c r="K77" s="123">
        <v>116</v>
      </c>
      <c r="L77" s="123">
        <v>137</v>
      </c>
      <c r="M77" s="125">
        <v>299</v>
      </c>
      <c r="N77" s="1"/>
      <c r="O77" s="124">
        <v>45</v>
      </c>
      <c r="P77" s="123">
        <v>56</v>
      </c>
      <c r="Q77" s="123">
        <v>93</v>
      </c>
      <c r="R77" s="123">
        <v>67</v>
      </c>
      <c r="S77" s="125">
        <v>261</v>
      </c>
      <c r="T77" s="1"/>
      <c r="U77" s="124">
        <v>41.555253</v>
      </c>
      <c r="V77" s="123">
        <v>49.943627999999997</v>
      </c>
      <c r="W77" s="123">
        <v>124.52185100000003</v>
      </c>
      <c r="X77" s="246">
        <v>99.684148999999991</v>
      </c>
      <c r="Y77" s="125">
        <v>315.704881</v>
      </c>
    </row>
    <row r="78" spans="1:25">
      <c r="A78" s="52" t="s">
        <v>121</v>
      </c>
      <c r="B78" s="134"/>
      <c r="C78" s="124">
        <v>75</v>
      </c>
      <c r="D78" s="123">
        <v>62</v>
      </c>
      <c r="E78" s="123">
        <v>62</v>
      </c>
      <c r="F78" s="123">
        <v>94</v>
      </c>
      <c r="G78" s="125">
        <v>293</v>
      </c>
      <c r="H78" s="91"/>
      <c r="I78" s="124">
        <v>77</v>
      </c>
      <c r="J78" s="123">
        <v>64</v>
      </c>
      <c r="K78" s="123">
        <v>88</v>
      </c>
      <c r="L78" s="123">
        <v>62</v>
      </c>
      <c r="M78" s="125">
        <v>291</v>
      </c>
      <c r="N78" s="1"/>
      <c r="O78" s="124">
        <v>48</v>
      </c>
      <c r="P78" s="123">
        <v>63</v>
      </c>
      <c r="Q78" s="123">
        <v>80</v>
      </c>
      <c r="R78" s="123">
        <v>161</v>
      </c>
      <c r="S78" s="125">
        <v>352</v>
      </c>
      <c r="T78" s="1"/>
      <c r="U78" s="124">
        <v>76.037735999999995</v>
      </c>
      <c r="V78" s="123">
        <v>114.449487</v>
      </c>
      <c r="W78" s="123">
        <v>82.301526999999993</v>
      </c>
      <c r="X78" s="246">
        <v>92.729229000000032</v>
      </c>
      <c r="Y78" s="125">
        <v>365.51797900000003</v>
      </c>
    </row>
    <row r="79" spans="1:25">
      <c r="A79" s="52" t="s">
        <v>122</v>
      </c>
      <c r="B79" s="134"/>
      <c r="C79" s="124">
        <v>65</v>
      </c>
      <c r="D79" s="123">
        <v>118</v>
      </c>
      <c r="E79" s="123">
        <v>78</v>
      </c>
      <c r="F79" s="123">
        <v>149</v>
      </c>
      <c r="G79" s="125">
        <v>410</v>
      </c>
      <c r="H79" s="91"/>
      <c r="I79" s="124">
        <v>82</v>
      </c>
      <c r="J79" s="123">
        <v>120</v>
      </c>
      <c r="K79" s="123">
        <v>120</v>
      </c>
      <c r="L79" s="123">
        <v>169</v>
      </c>
      <c r="M79" s="125">
        <v>491</v>
      </c>
      <c r="N79" s="1"/>
      <c r="O79" s="124">
        <v>89</v>
      </c>
      <c r="P79" s="123">
        <v>61</v>
      </c>
      <c r="Q79" s="123">
        <v>116</v>
      </c>
      <c r="R79" s="123">
        <v>214</v>
      </c>
      <c r="S79" s="125">
        <v>480</v>
      </c>
      <c r="T79" s="1"/>
      <c r="U79" s="124">
        <v>59.722808000000001</v>
      </c>
      <c r="V79" s="123">
        <v>65.041143000000005</v>
      </c>
      <c r="W79" s="123">
        <v>123.806479</v>
      </c>
      <c r="X79" s="246">
        <v>174.45335099999997</v>
      </c>
      <c r="Y79" s="125">
        <v>423.02378099999999</v>
      </c>
    </row>
    <row r="80" spans="1:25">
      <c r="A80" s="52" t="s">
        <v>123</v>
      </c>
      <c r="B80" s="134"/>
      <c r="C80" s="124">
        <v>20</v>
      </c>
      <c r="D80" s="123">
        <v>14</v>
      </c>
      <c r="E80" s="123">
        <v>47</v>
      </c>
      <c r="F80" s="123">
        <v>44</v>
      </c>
      <c r="G80" s="125">
        <v>125</v>
      </c>
      <c r="H80" s="91"/>
      <c r="I80" s="124">
        <v>21</v>
      </c>
      <c r="J80" s="123">
        <v>24</v>
      </c>
      <c r="K80" s="123">
        <v>40</v>
      </c>
      <c r="L80" s="123">
        <v>48</v>
      </c>
      <c r="M80" s="125">
        <v>133</v>
      </c>
      <c r="N80" s="1"/>
      <c r="O80" s="124">
        <v>24</v>
      </c>
      <c r="P80" s="123">
        <v>24</v>
      </c>
      <c r="Q80" s="123">
        <v>79</v>
      </c>
      <c r="R80" s="123">
        <v>51</v>
      </c>
      <c r="S80" s="125">
        <v>178</v>
      </c>
      <c r="T80" s="1"/>
      <c r="U80" s="124">
        <v>30.222104000000002</v>
      </c>
      <c r="V80" s="123">
        <v>32.458542000000001</v>
      </c>
      <c r="W80" s="123">
        <v>57.862486999999994</v>
      </c>
      <c r="X80" s="246">
        <v>70.147700000000015</v>
      </c>
      <c r="Y80" s="125">
        <v>190.690833</v>
      </c>
    </row>
    <row r="81" spans="1:25">
      <c r="A81" s="77" t="s">
        <v>84</v>
      </c>
      <c r="B81" s="134"/>
      <c r="C81" s="260">
        <v>607</v>
      </c>
      <c r="D81" s="261">
        <v>804</v>
      </c>
      <c r="E81" s="261">
        <v>719</v>
      </c>
      <c r="F81" s="261">
        <v>891</v>
      </c>
      <c r="G81" s="262">
        <v>3021</v>
      </c>
      <c r="H81" s="248"/>
      <c r="I81" s="260">
        <v>649</v>
      </c>
      <c r="J81" s="261">
        <v>910</v>
      </c>
      <c r="K81" s="261">
        <v>874</v>
      </c>
      <c r="L81" s="261">
        <v>878</v>
      </c>
      <c r="M81" s="262">
        <v>3311</v>
      </c>
      <c r="N81" s="248"/>
      <c r="O81" s="260">
        <v>609</v>
      </c>
      <c r="P81" s="261">
        <v>867</v>
      </c>
      <c r="Q81" s="261">
        <v>876</v>
      </c>
      <c r="R81" s="261">
        <v>938</v>
      </c>
      <c r="S81" s="262">
        <v>3290</v>
      </c>
      <c r="T81" s="248"/>
      <c r="U81" s="260">
        <v>617.64792799999987</v>
      </c>
      <c r="V81" s="261">
        <v>983.38810499999988</v>
      </c>
      <c r="W81" s="261">
        <v>916.37230999999986</v>
      </c>
      <c r="X81" s="261">
        <v>1102.8451919999998</v>
      </c>
      <c r="Y81" s="263">
        <v>3620.2535350000003</v>
      </c>
    </row>
    <row r="82" spans="1:25">
      <c r="A82" s="52" t="s">
        <v>15</v>
      </c>
      <c r="B82" s="134"/>
      <c r="C82" s="124">
        <v>230</v>
      </c>
      <c r="D82" s="123">
        <v>342</v>
      </c>
      <c r="E82" s="123">
        <v>301</v>
      </c>
      <c r="F82" s="123">
        <v>396</v>
      </c>
      <c r="G82" s="125">
        <v>1269</v>
      </c>
      <c r="H82" s="1"/>
      <c r="I82" s="124">
        <v>262</v>
      </c>
      <c r="J82" s="123">
        <v>394</v>
      </c>
      <c r="K82" s="123">
        <v>372</v>
      </c>
      <c r="L82" s="123">
        <v>386</v>
      </c>
      <c r="M82" s="125">
        <v>1414</v>
      </c>
      <c r="N82" s="1"/>
      <c r="O82" s="124">
        <v>241</v>
      </c>
      <c r="P82" s="123">
        <v>374</v>
      </c>
      <c r="Q82" s="123">
        <v>367</v>
      </c>
      <c r="R82" s="123">
        <v>399</v>
      </c>
      <c r="S82" s="125">
        <v>1381</v>
      </c>
      <c r="T82" s="1"/>
      <c r="U82" s="124">
        <v>221.965146</v>
      </c>
      <c r="V82" s="123">
        <v>433.95348799999999</v>
      </c>
      <c r="W82" s="123">
        <v>360.41206199999999</v>
      </c>
      <c r="X82" s="123">
        <v>494.62898200000006</v>
      </c>
      <c r="Y82" s="125">
        <v>1510.9596780000002</v>
      </c>
    </row>
    <row r="83" spans="1:25" s="60" customFormat="1">
      <c r="A83" s="54" t="s">
        <v>85</v>
      </c>
      <c r="B83" s="57"/>
      <c r="C83" s="58">
        <v>0.37891268533772654</v>
      </c>
      <c r="D83" s="72">
        <v>0.42537313432835822</v>
      </c>
      <c r="E83" s="72">
        <v>0.41863699582753827</v>
      </c>
      <c r="F83" s="72">
        <v>0.44444444444444442</v>
      </c>
      <c r="G83" s="59">
        <v>0.42005958291956308</v>
      </c>
      <c r="H83" s="61"/>
      <c r="I83" s="58">
        <v>0.40369799691833591</v>
      </c>
      <c r="J83" s="72">
        <v>0.43296703296703298</v>
      </c>
      <c r="K83" s="72">
        <v>0.42562929061784899</v>
      </c>
      <c r="L83" s="72">
        <v>0.43963553530751709</v>
      </c>
      <c r="M83" s="59">
        <v>0.42706131078224102</v>
      </c>
      <c r="N83" s="61"/>
      <c r="O83" s="58">
        <v>0.39573070607553368</v>
      </c>
      <c r="P83" s="72">
        <v>0.43137254901960786</v>
      </c>
      <c r="Q83" s="72">
        <v>0.41894977168949771</v>
      </c>
      <c r="R83" s="72">
        <v>0.42537313432835822</v>
      </c>
      <c r="S83" s="59">
        <v>0.41975683890577509</v>
      </c>
      <c r="T83" s="61"/>
      <c r="U83" s="58">
        <v>0.35937163542140149</v>
      </c>
      <c r="V83" s="72">
        <v>0.44128405234269136</v>
      </c>
      <c r="W83" s="72">
        <v>0.3933030909674694</v>
      </c>
      <c r="X83" s="172">
        <v>0.44850264170168336</v>
      </c>
      <c r="Y83" s="59">
        <v>0.41736294527228462</v>
      </c>
    </row>
    <row r="84" spans="1:25">
      <c r="A84" s="52" t="s">
        <v>21</v>
      </c>
      <c r="B84" s="130"/>
      <c r="C84" s="124">
        <v>246</v>
      </c>
      <c r="D84" s="139">
        <v>258</v>
      </c>
      <c r="E84" s="123">
        <v>232</v>
      </c>
      <c r="F84" s="123">
        <v>255</v>
      </c>
      <c r="G84" s="125">
        <v>991</v>
      </c>
      <c r="H84" s="1"/>
      <c r="I84" s="138">
        <v>274</v>
      </c>
      <c r="J84" s="123">
        <v>262</v>
      </c>
      <c r="K84" s="123">
        <v>260</v>
      </c>
      <c r="L84" s="123">
        <v>254</v>
      </c>
      <c r="M84" s="125">
        <v>1050</v>
      </c>
      <c r="N84" s="1"/>
      <c r="O84" s="138">
        <v>252</v>
      </c>
      <c r="P84" s="123">
        <v>252</v>
      </c>
      <c r="Q84" s="123">
        <v>263</v>
      </c>
      <c r="R84" s="123">
        <v>254</v>
      </c>
      <c r="S84" s="141">
        <v>1021</v>
      </c>
      <c r="T84" s="1"/>
      <c r="U84" s="138">
        <v>249.467915</v>
      </c>
      <c r="V84" s="123">
        <v>282.87980700000003</v>
      </c>
      <c r="W84" s="123">
        <v>297.03812699999997</v>
      </c>
      <c r="X84" s="123">
        <v>337.39608400000003</v>
      </c>
      <c r="Y84" s="141">
        <v>1166.781933</v>
      </c>
    </row>
    <row r="85" spans="1:25">
      <c r="A85" s="77" t="s">
        <v>25</v>
      </c>
      <c r="B85" s="116"/>
      <c r="C85" s="127">
        <v>-16</v>
      </c>
      <c r="D85" s="128">
        <v>84</v>
      </c>
      <c r="E85" s="128">
        <v>69</v>
      </c>
      <c r="F85" s="128">
        <v>141</v>
      </c>
      <c r="G85" s="129">
        <v>278</v>
      </c>
      <c r="H85" s="1"/>
      <c r="I85" s="127">
        <v>-12</v>
      </c>
      <c r="J85" s="128">
        <v>132</v>
      </c>
      <c r="K85" s="128">
        <v>112</v>
      </c>
      <c r="L85" s="128">
        <v>132</v>
      </c>
      <c r="M85" s="129">
        <v>364</v>
      </c>
      <c r="N85" s="1"/>
      <c r="O85" s="127">
        <v>-11</v>
      </c>
      <c r="P85" s="128">
        <v>122</v>
      </c>
      <c r="Q85" s="128">
        <v>104</v>
      </c>
      <c r="R85" s="128">
        <v>145</v>
      </c>
      <c r="S85" s="129">
        <v>360</v>
      </c>
      <c r="T85" s="1"/>
      <c r="U85" s="127">
        <v>-27.502769000000001</v>
      </c>
      <c r="V85" s="128">
        <v>151.07368099999997</v>
      </c>
      <c r="W85" s="128">
        <v>63.373935000000017</v>
      </c>
      <c r="X85" s="128">
        <v>157.23289800000003</v>
      </c>
      <c r="Y85" s="129">
        <v>344.17774500000019</v>
      </c>
    </row>
    <row r="86" spans="1:25" s="60" customFormat="1">
      <c r="A86" s="54" t="s">
        <v>85</v>
      </c>
      <c r="B86" s="57"/>
      <c r="C86" s="219">
        <v>-2.6359143327841845E-2</v>
      </c>
      <c r="D86" s="172">
        <v>0.1044776119402985</v>
      </c>
      <c r="E86" s="172">
        <v>9.5966620305980535E-2</v>
      </c>
      <c r="F86" s="172">
        <v>0.15824915824915825</v>
      </c>
      <c r="G86" s="220">
        <v>9.2022509102946043E-2</v>
      </c>
      <c r="H86" s="173"/>
      <c r="I86" s="219">
        <v>-1.8489984591679508E-2</v>
      </c>
      <c r="J86" s="172">
        <v>0.14505494505494507</v>
      </c>
      <c r="K86" s="172">
        <v>0.12814645308924486</v>
      </c>
      <c r="L86" s="172">
        <v>0.15034168564920272</v>
      </c>
      <c r="M86" s="220">
        <v>0.10993657505285412</v>
      </c>
      <c r="N86" s="173"/>
      <c r="O86" s="219">
        <v>-1.8062397372742199E-2</v>
      </c>
      <c r="P86" s="172">
        <v>0.14071510957324107</v>
      </c>
      <c r="Q86" s="172">
        <v>0.11872146118721461</v>
      </c>
      <c r="R86" s="72">
        <v>0.15458422174840086</v>
      </c>
      <c r="S86" s="220">
        <v>0.10942249240121581</v>
      </c>
      <c r="T86" s="173"/>
      <c r="U86" s="219">
        <v>-4.4528230004845099E-2</v>
      </c>
      <c r="V86" s="172">
        <v>0.15362569491320011</v>
      </c>
      <c r="W86" s="172">
        <v>6.9157409394004957E-2</v>
      </c>
      <c r="X86" s="172">
        <v>0.14257023482585041</v>
      </c>
      <c r="Y86" s="220">
        <v>9.5070066688022772E-2</v>
      </c>
    </row>
    <row r="87" spans="1:25">
      <c r="A87" s="52" t="s">
        <v>34</v>
      </c>
      <c r="B87" s="1"/>
      <c r="C87" s="142">
        <v>25</v>
      </c>
      <c r="D87" s="123">
        <v>23</v>
      </c>
      <c r="E87" s="123">
        <v>23</v>
      </c>
      <c r="F87" s="123">
        <v>25</v>
      </c>
      <c r="G87" s="144">
        <v>96</v>
      </c>
      <c r="H87" s="1"/>
      <c r="I87" s="142">
        <v>23</v>
      </c>
      <c r="J87" s="123">
        <v>21</v>
      </c>
      <c r="K87" s="123">
        <v>21</v>
      </c>
      <c r="L87" s="123">
        <v>21</v>
      </c>
      <c r="M87" s="125">
        <v>86</v>
      </c>
      <c r="N87" s="1"/>
      <c r="O87" s="142">
        <v>25</v>
      </c>
      <c r="P87" s="123">
        <v>24</v>
      </c>
      <c r="Q87" s="123">
        <v>21</v>
      </c>
      <c r="R87" s="123">
        <v>21</v>
      </c>
      <c r="S87" s="144">
        <v>91</v>
      </c>
      <c r="T87" s="1"/>
      <c r="U87" s="142">
        <v>21.090023333333335</v>
      </c>
      <c r="V87" s="123">
        <v>20.610298333333333</v>
      </c>
      <c r="W87" s="123">
        <v>18.164226000000035</v>
      </c>
      <c r="X87" s="123">
        <v>8.5505306666666385</v>
      </c>
      <c r="Y87" s="144">
        <v>68.415078333333341</v>
      </c>
    </row>
    <row r="88" spans="1:25">
      <c r="A88" s="52" t="s">
        <v>35</v>
      </c>
      <c r="B88" s="1"/>
      <c r="C88" s="131">
        <v>-41</v>
      </c>
      <c r="D88" s="133">
        <v>61</v>
      </c>
      <c r="E88" s="133">
        <v>46</v>
      </c>
      <c r="F88" s="133">
        <v>116</v>
      </c>
      <c r="G88" s="132">
        <v>182</v>
      </c>
      <c r="H88" s="1"/>
      <c r="I88" s="131">
        <v>-35</v>
      </c>
      <c r="J88" s="133">
        <v>111</v>
      </c>
      <c r="K88" s="133">
        <v>91</v>
      </c>
      <c r="L88" s="133">
        <v>111</v>
      </c>
      <c r="M88" s="132">
        <v>278</v>
      </c>
      <c r="N88" s="1"/>
      <c r="O88" s="131">
        <v>-36</v>
      </c>
      <c r="P88" s="133">
        <v>98</v>
      </c>
      <c r="Q88" s="133">
        <v>83</v>
      </c>
      <c r="R88" s="133">
        <v>124</v>
      </c>
      <c r="S88" s="132">
        <v>269</v>
      </c>
      <c r="T88" s="1"/>
      <c r="U88" s="131">
        <v>-48.592792333333335</v>
      </c>
      <c r="V88" s="133">
        <v>130.46338266666663</v>
      </c>
      <c r="W88" s="133">
        <v>45.209708999999982</v>
      </c>
      <c r="X88" s="133">
        <v>148.68236733333339</v>
      </c>
      <c r="Y88" s="132">
        <v>275.76266666666686</v>
      </c>
    </row>
    <row r="89" spans="1:25" s="60" customFormat="1">
      <c r="A89" s="54" t="s">
        <v>85</v>
      </c>
      <c r="C89" s="58">
        <v>-6.7545304777594725E-2</v>
      </c>
      <c r="D89" s="72">
        <v>7.5870646766169156E-2</v>
      </c>
      <c r="E89" s="72">
        <v>6.397774687065369E-2</v>
      </c>
      <c r="F89" s="72">
        <v>0.13019079685746351</v>
      </c>
      <c r="G89" s="59">
        <v>6.0244952002648129E-2</v>
      </c>
      <c r="I89" s="58">
        <v>-5.3929121725731895E-2</v>
      </c>
      <c r="J89" s="72">
        <v>0.12197802197802197</v>
      </c>
      <c r="K89" s="72">
        <v>0.10411899313501144</v>
      </c>
      <c r="L89" s="72">
        <v>0.1264236902050114</v>
      </c>
      <c r="M89" s="59">
        <v>8.396254907882815E-2</v>
      </c>
      <c r="O89" s="58">
        <v>-5.9113300492610835E-2</v>
      </c>
      <c r="P89" s="72">
        <v>0.11303344867358708</v>
      </c>
      <c r="Q89" s="72">
        <v>9.4748858447488579E-2</v>
      </c>
      <c r="R89" s="72">
        <v>0.13219616204690832</v>
      </c>
      <c r="S89" s="59">
        <v>8.1762917933130702E-2</v>
      </c>
      <c r="U89" s="58">
        <v>-7.8673934017201699E-2</v>
      </c>
      <c r="V89" s="72">
        <v>0.13266723687558399</v>
      </c>
      <c r="W89" s="72">
        <v>4.9335524989837364E-2</v>
      </c>
      <c r="X89" s="72">
        <v>0.13481707896255074</v>
      </c>
      <c r="Y89" s="59">
        <v>7.6172197333871761E-2</v>
      </c>
    </row>
    <row r="90" spans="1:25" ht="5.25" customHeight="1">
      <c r="A90" s="52"/>
      <c r="B90" s="130"/>
      <c r="C90" s="146"/>
      <c r="D90" s="148"/>
      <c r="E90" s="148"/>
      <c r="F90" s="148"/>
      <c r="G90" s="147"/>
      <c r="H90" s="1"/>
      <c r="I90" s="146"/>
      <c r="J90" s="148"/>
      <c r="K90" s="148"/>
      <c r="L90" s="148"/>
      <c r="M90" s="147"/>
      <c r="N90" s="1"/>
      <c r="O90" s="146"/>
      <c r="P90" s="148"/>
      <c r="Q90" s="148"/>
      <c r="R90" s="148"/>
      <c r="S90" s="147"/>
      <c r="T90" s="1"/>
      <c r="U90" s="146"/>
      <c r="V90" s="148"/>
      <c r="W90" s="148"/>
      <c r="X90" s="148"/>
      <c r="Y90" s="147"/>
    </row>
    <row r="91" spans="1:25">
      <c r="A91" s="53" t="s">
        <v>88</v>
      </c>
      <c r="B91" s="134"/>
      <c r="C91" s="121"/>
      <c r="D91" s="116"/>
      <c r="E91" s="116"/>
      <c r="F91" s="116"/>
      <c r="G91" s="122"/>
      <c r="H91" s="1"/>
      <c r="I91" s="121"/>
      <c r="J91" s="116"/>
      <c r="K91" s="116"/>
      <c r="L91" s="116"/>
      <c r="M91" s="122"/>
      <c r="N91" s="1"/>
      <c r="O91" s="121"/>
      <c r="P91" s="116"/>
      <c r="Q91" s="116"/>
      <c r="R91" s="116"/>
      <c r="S91" s="122"/>
      <c r="T91" s="1"/>
      <c r="U91" s="121"/>
      <c r="V91" s="116"/>
      <c r="W91" s="116"/>
      <c r="X91" s="116"/>
      <c r="Y91" s="122"/>
    </row>
    <row r="92" spans="1:25">
      <c r="A92" s="77" t="s">
        <v>84</v>
      </c>
      <c r="B92" s="134"/>
      <c r="C92" s="127">
        <v>0</v>
      </c>
      <c r="D92" s="128">
        <v>0</v>
      </c>
      <c r="E92" s="128">
        <v>0</v>
      </c>
      <c r="F92" s="128">
        <v>0</v>
      </c>
      <c r="G92" s="129">
        <v>0</v>
      </c>
      <c r="H92" s="1"/>
      <c r="I92" s="127">
        <v>0</v>
      </c>
      <c r="J92" s="128">
        <v>0</v>
      </c>
      <c r="K92" s="128">
        <v>0</v>
      </c>
      <c r="L92" s="128">
        <v>0</v>
      </c>
      <c r="M92" s="129">
        <v>0</v>
      </c>
      <c r="N92" s="1"/>
      <c r="O92" s="127">
        <v>0</v>
      </c>
      <c r="P92" s="128">
        <v>0</v>
      </c>
      <c r="Q92" s="128">
        <v>0</v>
      </c>
      <c r="R92" s="128">
        <v>0</v>
      </c>
      <c r="S92" s="129">
        <v>0</v>
      </c>
      <c r="T92" s="1"/>
      <c r="U92" s="127">
        <v>0</v>
      </c>
      <c r="V92" s="128">
        <v>0</v>
      </c>
      <c r="W92" s="128">
        <v>0</v>
      </c>
      <c r="X92" s="128">
        <v>0</v>
      </c>
      <c r="Y92" s="129">
        <v>0</v>
      </c>
    </row>
    <row r="93" spans="1:25">
      <c r="A93" s="52" t="s">
        <v>15</v>
      </c>
      <c r="B93" s="134"/>
      <c r="C93" s="146" t="s">
        <v>89</v>
      </c>
      <c r="D93" s="130" t="s">
        <v>89</v>
      </c>
      <c r="E93" s="130" t="s">
        <v>89</v>
      </c>
      <c r="F93" s="130" t="s">
        <v>89</v>
      </c>
      <c r="G93" s="147" t="s">
        <v>89</v>
      </c>
      <c r="H93" s="1"/>
      <c r="I93" s="146" t="s">
        <v>89</v>
      </c>
      <c r="J93" s="148" t="s">
        <v>89</v>
      </c>
      <c r="K93" s="148" t="s">
        <v>89</v>
      </c>
      <c r="L93" s="148" t="s">
        <v>89</v>
      </c>
      <c r="M93" s="147" t="s">
        <v>89</v>
      </c>
      <c r="N93" s="1"/>
      <c r="O93" s="146" t="s">
        <v>89</v>
      </c>
      <c r="P93" s="148" t="s">
        <v>89</v>
      </c>
      <c r="Q93" s="148" t="s">
        <v>89</v>
      </c>
      <c r="R93" s="148" t="s">
        <v>89</v>
      </c>
      <c r="S93" s="147" t="s">
        <v>89</v>
      </c>
      <c r="T93" s="1"/>
      <c r="U93" s="146" t="s">
        <v>89</v>
      </c>
      <c r="V93" s="148" t="s">
        <v>89</v>
      </c>
      <c r="W93" s="148" t="s">
        <v>89</v>
      </c>
      <c r="X93" s="148" t="s">
        <v>89</v>
      </c>
      <c r="Y93" s="147" t="s">
        <v>89</v>
      </c>
    </row>
    <row r="94" spans="1:25" s="60" customFormat="1">
      <c r="A94" s="54" t="s">
        <v>85</v>
      </c>
      <c r="B94" s="57"/>
      <c r="C94" s="58" t="s">
        <v>89</v>
      </c>
      <c r="D94" s="57" t="s">
        <v>89</v>
      </c>
      <c r="E94" s="57" t="s">
        <v>89</v>
      </c>
      <c r="F94" s="57" t="s">
        <v>89</v>
      </c>
      <c r="G94" s="59" t="s">
        <v>89</v>
      </c>
      <c r="I94" s="58" t="s">
        <v>89</v>
      </c>
      <c r="J94" s="72" t="s">
        <v>89</v>
      </c>
      <c r="K94" s="72" t="s">
        <v>89</v>
      </c>
      <c r="L94" s="72" t="s">
        <v>89</v>
      </c>
      <c r="M94" s="59" t="s">
        <v>89</v>
      </c>
      <c r="O94" s="58" t="s">
        <v>89</v>
      </c>
      <c r="P94" s="72" t="s">
        <v>89</v>
      </c>
      <c r="Q94" s="72" t="s">
        <v>89</v>
      </c>
      <c r="R94" s="72" t="s">
        <v>89</v>
      </c>
      <c r="S94" s="59" t="s">
        <v>89</v>
      </c>
      <c r="U94" s="58" t="s">
        <v>89</v>
      </c>
      <c r="V94" s="72" t="s">
        <v>89</v>
      </c>
      <c r="W94" s="72" t="s">
        <v>89</v>
      </c>
      <c r="X94" s="72" t="s">
        <v>89</v>
      </c>
      <c r="Y94" s="59" t="s">
        <v>89</v>
      </c>
    </row>
    <row r="95" spans="1:25">
      <c r="A95" s="52" t="s">
        <v>21</v>
      </c>
      <c r="B95" s="130"/>
      <c r="C95" s="124">
        <v>23</v>
      </c>
      <c r="D95" s="139">
        <v>23</v>
      </c>
      <c r="E95" s="123">
        <v>21</v>
      </c>
      <c r="F95" s="123">
        <v>23</v>
      </c>
      <c r="G95" s="141">
        <v>90</v>
      </c>
      <c r="H95" s="1"/>
      <c r="I95" s="138">
        <v>23</v>
      </c>
      <c r="J95" s="123">
        <v>26</v>
      </c>
      <c r="K95" s="123">
        <v>25</v>
      </c>
      <c r="L95" s="123">
        <v>25</v>
      </c>
      <c r="M95" s="125">
        <v>99</v>
      </c>
      <c r="N95" s="1"/>
      <c r="O95" s="138">
        <v>28</v>
      </c>
      <c r="P95" s="123">
        <v>29</v>
      </c>
      <c r="Q95" s="123">
        <v>31</v>
      </c>
      <c r="R95" s="123">
        <v>34</v>
      </c>
      <c r="S95" s="141">
        <v>122</v>
      </c>
      <c r="T95" s="1"/>
      <c r="U95" s="138">
        <v>33.151009000000002</v>
      </c>
      <c r="V95" s="123">
        <v>38.654755000000002</v>
      </c>
      <c r="W95" s="123">
        <v>39.004471999998998</v>
      </c>
      <c r="X95" s="123">
        <v>47.316776000000999</v>
      </c>
      <c r="Y95" s="141">
        <v>158.12701200000001</v>
      </c>
    </row>
    <row r="96" spans="1:25">
      <c r="A96" s="77" t="s">
        <v>25</v>
      </c>
      <c r="B96" s="116"/>
      <c r="C96" s="127">
        <v>-23</v>
      </c>
      <c r="D96" s="128">
        <v>-23</v>
      </c>
      <c r="E96" s="128">
        <v>-21</v>
      </c>
      <c r="F96" s="128">
        <v>-23</v>
      </c>
      <c r="G96" s="129">
        <v>-90</v>
      </c>
      <c r="H96" s="1"/>
      <c r="I96" s="127">
        <v>-23</v>
      </c>
      <c r="J96" s="128">
        <v>-26</v>
      </c>
      <c r="K96" s="128">
        <v>-25</v>
      </c>
      <c r="L96" s="128">
        <v>-25</v>
      </c>
      <c r="M96" s="129">
        <v>-99</v>
      </c>
      <c r="N96" s="1"/>
      <c r="O96" s="127">
        <v>-28</v>
      </c>
      <c r="P96" s="128">
        <v>-29</v>
      </c>
      <c r="Q96" s="128">
        <v>-31</v>
      </c>
      <c r="R96" s="128">
        <v>-34</v>
      </c>
      <c r="S96" s="129">
        <v>-122</v>
      </c>
      <c r="T96" s="1"/>
      <c r="U96" s="127">
        <v>-33.151009000000002</v>
      </c>
      <c r="V96" s="128">
        <v>-38.654755000000002</v>
      </c>
      <c r="W96" s="128">
        <v>-39.004471999998998</v>
      </c>
      <c r="X96" s="128">
        <v>-47.316776000000999</v>
      </c>
      <c r="Y96" s="129">
        <v>-158.12701200000001</v>
      </c>
    </row>
    <row r="97" spans="1:25" s="60" customFormat="1" ht="12" thickBot="1">
      <c r="A97" s="65" t="s">
        <v>85</v>
      </c>
      <c r="B97" s="57"/>
      <c r="C97" s="66" t="s">
        <v>89</v>
      </c>
      <c r="D97" s="67" t="s">
        <v>89</v>
      </c>
      <c r="E97" s="67" t="s">
        <v>89</v>
      </c>
      <c r="F97" s="67" t="s">
        <v>89</v>
      </c>
      <c r="G97" s="68" t="s">
        <v>89</v>
      </c>
      <c r="I97" s="66" t="s">
        <v>89</v>
      </c>
      <c r="J97" s="67" t="s">
        <v>89</v>
      </c>
      <c r="K97" s="67" t="s">
        <v>89</v>
      </c>
      <c r="L97" s="67" t="s">
        <v>89</v>
      </c>
      <c r="M97" s="68" t="s">
        <v>89</v>
      </c>
      <c r="O97" s="66" t="s">
        <v>89</v>
      </c>
      <c r="P97" s="67" t="s">
        <v>89</v>
      </c>
      <c r="Q97" s="67" t="s">
        <v>89</v>
      </c>
      <c r="R97" s="67" t="s">
        <v>89</v>
      </c>
      <c r="S97" s="68" t="s">
        <v>89</v>
      </c>
      <c r="U97" s="66" t="s">
        <v>89</v>
      </c>
      <c r="V97" s="67" t="s">
        <v>89</v>
      </c>
      <c r="W97" s="67" t="s">
        <v>89</v>
      </c>
      <c r="X97" s="67" t="s">
        <v>89</v>
      </c>
      <c r="Y97" s="68" t="s">
        <v>89</v>
      </c>
    </row>
    <row r="98" spans="1:25" ht="5.25" customHeight="1">
      <c r="A98" s="1"/>
      <c r="B98" s="130"/>
      <c r="C98" s="130"/>
      <c r="D98" s="130"/>
      <c r="E98" s="130"/>
      <c r="F98" s="130"/>
      <c r="G98" s="130"/>
      <c r="H98" s="1"/>
      <c r="I98" s="130"/>
      <c r="J98" s="130"/>
      <c r="K98" s="130"/>
      <c r="L98" s="130"/>
      <c r="M98" s="130"/>
      <c r="N98" s="1"/>
      <c r="O98" s="148"/>
      <c r="P98" s="148"/>
      <c r="Q98" s="148"/>
      <c r="R98" s="148"/>
      <c r="S98" s="148"/>
      <c r="T98" s="1"/>
      <c r="U98" s="148"/>
      <c r="V98" s="148"/>
      <c r="W98" s="148"/>
      <c r="X98" s="148"/>
      <c r="Y98" s="148"/>
    </row>
    <row r="99" spans="1:25">
      <c r="A99" s="149" t="s">
        <v>95</v>
      </c>
      <c r="B99" s="95"/>
      <c r="C99" s="86" t="s">
        <v>96</v>
      </c>
      <c r="D99" s="94"/>
      <c r="E99" s="94"/>
      <c r="F99" s="94"/>
      <c r="G99" s="152" t="s">
        <v>97</v>
      </c>
      <c r="H99" s="1"/>
      <c r="I99" s="86" t="s">
        <v>96</v>
      </c>
      <c r="J99" s="86"/>
      <c r="K99" s="86"/>
      <c r="L99" s="86"/>
      <c r="M99" s="86" t="s">
        <v>97</v>
      </c>
      <c r="N99" s="1"/>
      <c r="O99" s="79" t="s">
        <v>96</v>
      </c>
      <c r="P99" s="166"/>
      <c r="Q99" s="166"/>
      <c r="R99" s="166"/>
      <c r="S99" s="86" t="s">
        <v>97</v>
      </c>
      <c r="T99" s="1"/>
      <c r="U99" s="79" t="s">
        <v>96</v>
      </c>
      <c r="V99" s="166"/>
      <c r="W99" s="166"/>
      <c r="X99" s="166"/>
      <c r="Y99" s="86" t="s">
        <v>97</v>
      </c>
    </row>
    <row r="100" spans="1:25">
      <c r="A100" s="252" t="s">
        <v>98</v>
      </c>
      <c r="B100" s="153"/>
      <c r="C100" s="156">
        <v>9.74</v>
      </c>
      <c r="D100" s="157">
        <v>9.7200000000000006</v>
      </c>
      <c r="E100" s="157">
        <v>9.85</v>
      </c>
      <c r="F100" s="158">
        <v>10.09</v>
      </c>
      <c r="G100" s="155">
        <v>9.8500000000000014</v>
      </c>
      <c r="H100" s="1"/>
      <c r="I100" s="156">
        <v>10.46</v>
      </c>
      <c r="J100" s="157">
        <v>11.02</v>
      </c>
      <c r="K100" s="157">
        <v>10.67</v>
      </c>
      <c r="L100" s="158">
        <v>10.76</v>
      </c>
      <c r="M100" s="155">
        <v>10.73</v>
      </c>
      <c r="N100" s="1"/>
      <c r="O100" s="156">
        <v>10.26</v>
      </c>
      <c r="P100" s="157">
        <v>10.09</v>
      </c>
      <c r="Q100" s="157">
        <v>10.32</v>
      </c>
      <c r="R100" s="158">
        <v>9.9700000000000006</v>
      </c>
      <c r="S100" s="155">
        <v>10.16</v>
      </c>
      <c r="T100" s="1"/>
      <c r="U100" s="156">
        <v>9.9332700000000003</v>
      </c>
      <c r="V100" s="157">
        <v>10.022800000000002</v>
      </c>
      <c r="W100" s="157">
        <v>10.061</v>
      </c>
      <c r="X100" s="158">
        <v>10.391866666666667</v>
      </c>
      <c r="Y100" s="155">
        <v>10.102234166666667</v>
      </c>
    </row>
    <row r="101" spans="1:25">
      <c r="A101" s="241" t="s">
        <v>99</v>
      </c>
      <c r="B101" s="153"/>
      <c r="C101" s="249">
        <v>8.59</v>
      </c>
      <c r="D101" s="250">
        <v>8.65</v>
      </c>
      <c r="E101" s="250">
        <v>8.86</v>
      </c>
      <c r="F101" s="251">
        <v>9.11</v>
      </c>
      <c r="G101" s="242">
        <v>8.8025000000000002</v>
      </c>
      <c r="H101" s="1"/>
      <c r="I101" s="249">
        <v>9.49</v>
      </c>
      <c r="J101" s="250">
        <v>10.02</v>
      </c>
      <c r="K101" s="250">
        <v>9.1300000000000008</v>
      </c>
      <c r="L101" s="251">
        <v>9.02</v>
      </c>
      <c r="M101" s="242">
        <v>9.41</v>
      </c>
      <c r="N101" s="1"/>
      <c r="O101" s="249">
        <v>8.51</v>
      </c>
      <c r="P101" s="250">
        <v>8.3699999999999992</v>
      </c>
      <c r="Q101" s="250">
        <v>8.76</v>
      </c>
      <c r="R101" s="251">
        <v>8.7200000000000006</v>
      </c>
      <c r="S101" s="242">
        <v>8.59</v>
      </c>
      <c r="T101" s="1"/>
      <c r="U101" s="249">
        <v>8.8489000000000004</v>
      </c>
      <c r="V101" s="250">
        <v>9.4177666666666671</v>
      </c>
      <c r="W101" s="250">
        <v>9.9947999999999997</v>
      </c>
      <c r="X101" s="251">
        <v>10.1934</v>
      </c>
      <c r="Y101" s="242">
        <v>9.6137166666666651</v>
      </c>
    </row>
    <row r="102" spans="1:25" ht="5.25" customHeight="1" thickBot="1">
      <c r="A102" s="1"/>
      <c r="B102" s="130"/>
      <c r="C102" s="130"/>
      <c r="D102" s="130"/>
      <c r="E102" s="130"/>
      <c r="F102" s="130"/>
      <c r="G102" s="130"/>
      <c r="H102" s="1"/>
      <c r="I102" s="130"/>
      <c r="J102" s="130"/>
      <c r="K102" s="130"/>
      <c r="L102" s="130"/>
      <c r="M102" s="130"/>
      <c r="N102" s="1"/>
      <c r="O102" s="148"/>
      <c r="P102" s="148"/>
      <c r="Q102" s="148"/>
      <c r="R102" s="148"/>
      <c r="S102" s="148"/>
      <c r="T102" s="1"/>
      <c r="U102" s="148"/>
      <c r="V102" s="148"/>
      <c r="W102" s="148"/>
      <c r="X102" s="148"/>
      <c r="Y102" s="148"/>
    </row>
    <row r="103" spans="1:25" ht="19.5" customHeight="1" thickBot="1">
      <c r="A103" s="27" t="s">
        <v>125</v>
      </c>
      <c r="B103" s="95"/>
      <c r="C103" s="33">
        <v>2019</v>
      </c>
      <c r="D103" s="32"/>
      <c r="E103" s="32"/>
      <c r="F103" s="32"/>
      <c r="G103" s="32"/>
      <c r="H103" s="1">
        <v>2020</v>
      </c>
      <c r="I103" s="30">
        <v>2020</v>
      </c>
      <c r="J103" s="31"/>
      <c r="K103" s="31"/>
      <c r="L103" s="31"/>
      <c r="M103" s="32"/>
      <c r="N103" s="1"/>
      <c r="O103" s="30">
        <v>2021</v>
      </c>
      <c r="P103" s="31"/>
      <c r="Q103" s="31"/>
      <c r="R103" s="31"/>
      <c r="S103" s="32"/>
      <c r="T103" s="1"/>
      <c r="U103" s="30">
        <v>2022</v>
      </c>
      <c r="V103" s="31"/>
      <c r="W103" s="31"/>
      <c r="X103" s="31"/>
      <c r="Y103" s="32"/>
    </row>
    <row r="104" spans="1:25" ht="12" customHeight="1" thickBot="1">
      <c r="A104" s="35" t="s">
        <v>81</v>
      </c>
      <c r="B104" s="36"/>
      <c r="C104" s="40" t="s">
        <v>42</v>
      </c>
      <c r="D104" s="41" t="s">
        <v>43</v>
      </c>
      <c r="E104" s="41" t="s">
        <v>44</v>
      </c>
      <c r="F104" s="41" t="s">
        <v>45</v>
      </c>
      <c r="G104" s="42" t="s">
        <v>82</v>
      </c>
      <c r="H104" s="1"/>
      <c r="I104" s="181" t="s">
        <v>46</v>
      </c>
      <c r="J104" s="182" t="s">
        <v>47</v>
      </c>
      <c r="K104" s="182" t="s">
        <v>48</v>
      </c>
      <c r="L104" s="182" t="s">
        <v>49</v>
      </c>
      <c r="M104" s="183" t="s">
        <v>82</v>
      </c>
      <c r="N104" s="1"/>
      <c r="O104" s="40" t="s">
        <v>50</v>
      </c>
      <c r="P104" s="41" t="s">
        <v>51</v>
      </c>
      <c r="Q104" s="41" t="s">
        <v>52</v>
      </c>
      <c r="R104" s="41" t="s">
        <v>1</v>
      </c>
      <c r="S104" s="42" t="s">
        <v>82</v>
      </c>
      <c r="T104" s="1"/>
      <c r="U104" s="40" t="s">
        <v>53</v>
      </c>
      <c r="V104" s="41" t="s">
        <v>54</v>
      </c>
      <c r="W104" s="41" t="s">
        <v>55</v>
      </c>
      <c r="X104" s="41" t="s">
        <v>56</v>
      </c>
      <c r="Y104" s="42" t="s">
        <v>82</v>
      </c>
    </row>
    <row r="105" spans="1:25" ht="4.5" customHeight="1">
      <c r="A105" s="52"/>
      <c r="B105" s="116"/>
      <c r="C105" s="117"/>
      <c r="D105" s="119"/>
      <c r="E105" s="119"/>
      <c r="F105" s="119"/>
      <c r="G105" s="118"/>
      <c r="H105" s="1"/>
      <c r="I105" s="97"/>
      <c r="J105" s="99"/>
      <c r="K105" s="99"/>
      <c r="L105" s="99"/>
      <c r="M105" s="98"/>
      <c r="N105" s="1"/>
      <c r="O105" s="97"/>
      <c r="P105" s="99"/>
      <c r="Q105" s="99"/>
      <c r="R105" s="99"/>
      <c r="S105" s="98"/>
      <c r="T105" s="1"/>
      <c r="U105" s="97"/>
      <c r="V105" s="99"/>
      <c r="W105" s="99"/>
      <c r="X105" s="99"/>
      <c r="Y105" s="98"/>
    </row>
    <row r="106" spans="1:25" ht="11.25" customHeight="1">
      <c r="A106" s="53" t="s">
        <v>118</v>
      </c>
      <c r="B106" s="116"/>
      <c r="C106" s="121"/>
      <c r="D106" s="116"/>
      <c r="E106" s="116"/>
      <c r="F106" s="116"/>
      <c r="G106" s="122"/>
      <c r="H106" s="123"/>
      <c r="I106" s="121"/>
      <c r="J106" s="116"/>
      <c r="K106" s="116"/>
      <c r="L106" s="116"/>
      <c r="M106" s="122"/>
      <c r="N106" s="1"/>
      <c r="O106" s="121"/>
      <c r="P106" s="116"/>
      <c r="Q106" s="116"/>
      <c r="R106" s="116"/>
      <c r="S106" s="122"/>
      <c r="T106" s="1"/>
      <c r="U106" s="121"/>
      <c r="V106" s="116"/>
      <c r="W106" s="116"/>
      <c r="X106" s="116"/>
      <c r="Y106" s="122"/>
    </row>
    <row r="107" spans="1:25" ht="11.25" customHeight="1">
      <c r="A107" s="52" t="s">
        <v>100</v>
      </c>
      <c r="B107" s="116"/>
      <c r="C107" s="124">
        <v>607.61400000000003</v>
      </c>
      <c r="D107" s="123">
        <v>579.46199999999999</v>
      </c>
      <c r="E107" s="123">
        <v>549.45000000000005</v>
      </c>
      <c r="F107" s="123">
        <v>563.99199999999996</v>
      </c>
      <c r="G107" s="125"/>
      <c r="H107" s="91"/>
      <c r="I107" s="124">
        <v>702.11</v>
      </c>
      <c r="J107" s="123">
        <v>694.96699999999998</v>
      </c>
      <c r="K107" s="123">
        <v>626.04</v>
      </c>
      <c r="L107" s="123">
        <v>552</v>
      </c>
      <c r="M107" s="125"/>
      <c r="N107" s="1"/>
      <c r="O107" s="124">
        <v>732</v>
      </c>
      <c r="P107" s="123">
        <v>821.87335999999993</v>
      </c>
      <c r="Q107" s="123">
        <v>813</v>
      </c>
      <c r="R107" s="123">
        <v>702.29700000000003</v>
      </c>
      <c r="S107" s="141"/>
      <c r="T107" s="1"/>
      <c r="U107" s="124">
        <v>856.51020000000005</v>
      </c>
      <c r="V107" s="123">
        <v>980.00294999999994</v>
      </c>
      <c r="W107" s="123">
        <v>1007.57776</v>
      </c>
      <c r="X107" s="123">
        <v>965.16683999999998</v>
      </c>
      <c r="Y107" s="141"/>
    </row>
    <row r="108" spans="1:25" ht="11.25" customHeight="1">
      <c r="A108" s="52" t="s">
        <v>101</v>
      </c>
      <c r="B108" s="116"/>
      <c r="C108" s="124">
        <v>467</v>
      </c>
      <c r="D108" s="123">
        <v>397.84799999999996</v>
      </c>
      <c r="E108" s="123">
        <v>389.98800000000006</v>
      </c>
      <c r="F108" s="123">
        <v>427.54199999999992</v>
      </c>
      <c r="G108" s="125">
        <v>1682.3779999999999</v>
      </c>
      <c r="H108" s="1"/>
      <c r="I108" s="124">
        <v>623.11800000000005</v>
      </c>
      <c r="J108" s="123">
        <v>346.85699999999997</v>
      </c>
      <c r="K108" s="123">
        <v>348.07299999999998</v>
      </c>
      <c r="L108" s="123">
        <v>364</v>
      </c>
      <c r="M108" s="125">
        <v>1682.048</v>
      </c>
      <c r="N108" s="1"/>
      <c r="O108" s="124">
        <v>498</v>
      </c>
      <c r="P108" s="123">
        <v>528.87335999999993</v>
      </c>
      <c r="Q108" s="123">
        <v>622.12664000000007</v>
      </c>
      <c r="R108" s="123">
        <v>521</v>
      </c>
      <c r="S108" s="141">
        <v>2170</v>
      </c>
      <c r="T108" s="1"/>
      <c r="U108" s="124">
        <v>643.65163899999993</v>
      </c>
      <c r="V108" s="123">
        <v>675.22158699999989</v>
      </c>
      <c r="W108" s="123">
        <v>681.20535900000016</v>
      </c>
      <c r="X108" s="123">
        <v>638.37167999999997</v>
      </c>
      <c r="Y108" s="141">
        <v>2638.4502649999995</v>
      </c>
    </row>
    <row r="109" spans="1:25" ht="11.25" customHeight="1">
      <c r="A109" s="52" t="s">
        <v>14</v>
      </c>
      <c r="B109" s="95"/>
      <c r="C109" s="120">
        <v>432</v>
      </c>
      <c r="D109" s="1">
        <v>426</v>
      </c>
      <c r="E109" s="1">
        <v>421</v>
      </c>
      <c r="F109" s="1">
        <v>413</v>
      </c>
      <c r="G109" s="125">
        <v>1692</v>
      </c>
      <c r="H109" s="1"/>
      <c r="I109" s="120">
        <v>485</v>
      </c>
      <c r="J109" s="1">
        <v>354</v>
      </c>
      <c r="K109" s="1">
        <v>417</v>
      </c>
      <c r="L109" s="1">
        <v>438</v>
      </c>
      <c r="M109" s="125">
        <v>1694</v>
      </c>
      <c r="N109" s="1"/>
      <c r="O109" s="120">
        <v>318</v>
      </c>
      <c r="P109" s="137">
        <v>439</v>
      </c>
      <c r="Q109" s="137">
        <v>631</v>
      </c>
      <c r="R109" s="123">
        <v>631</v>
      </c>
      <c r="S109" s="141">
        <v>2019</v>
      </c>
      <c r="T109" s="1"/>
      <c r="U109" s="124">
        <v>489.43843899999996</v>
      </c>
      <c r="V109" s="137">
        <v>551.728837</v>
      </c>
      <c r="W109" s="137">
        <v>653.63054900000009</v>
      </c>
      <c r="X109" s="137">
        <v>680.7826</v>
      </c>
      <c r="Y109" s="141">
        <v>2375.5804250000001</v>
      </c>
    </row>
    <row r="110" spans="1:25" ht="5.25" customHeight="1">
      <c r="A110" s="52"/>
      <c r="B110" s="95"/>
      <c r="C110" s="120"/>
      <c r="D110" s="1"/>
      <c r="E110" s="1"/>
      <c r="F110" s="1"/>
      <c r="G110" s="107"/>
      <c r="H110" s="1"/>
      <c r="I110" s="120"/>
      <c r="J110" s="1"/>
      <c r="K110" s="1"/>
      <c r="L110" s="1"/>
      <c r="M110" s="107"/>
      <c r="N110" s="1"/>
      <c r="O110" s="120"/>
      <c r="P110" s="1"/>
      <c r="Q110" s="1"/>
      <c r="R110" s="1"/>
      <c r="S110" s="107"/>
      <c r="T110" s="1"/>
      <c r="U110" s="239"/>
      <c r="V110" s="1"/>
      <c r="W110" s="1"/>
      <c r="X110" s="1"/>
      <c r="Y110" s="107"/>
    </row>
    <row r="111" spans="1:25" ht="11.25" customHeight="1">
      <c r="A111" s="53" t="s">
        <v>124</v>
      </c>
      <c r="B111" s="116"/>
      <c r="C111" s="121"/>
      <c r="D111" s="116"/>
      <c r="E111" s="116"/>
      <c r="F111" s="116"/>
      <c r="G111" s="122"/>
      <c r="H111" s="123"/>
      <c r="I111" s="121"/>
      <c r="J111" s="116"/>
      <c r="K111" s="116"/>
      <c r="L111" s="116"/>
      <c r="M111" s="122"/>
      <c r="N111" s="1"/>
      <c r="O111" s="121"/>
      <c r="P111" s="116"/>
      <c r="Q111" s="116"/>
      <c r="R111" s="116"/>
      <c r="S111" s="122"/>
      <c r="T111" s="1"/>
      <c r="U111" s="121"/>
      <c r="V111" s="116"/>
      <c r="W111" s="116"/>
      <c r="X111" s="116"/>
      <c r="Y111" s="122"/>
    </row>
    <row r="112" spans="1:25" ht="11.25" customHeight="1">
      <c r="A112" s="52" t="s">
        <v>100</v>
      </c>
      <c r="B112" s="116"/>
      <c r="C112" s="124">
        <v>856.35900000000004</v>
      </c>
      <c r="D112" s="123">
        <v>765.51</v>
      </c>
      <c r="E112" s="123">
        <v>880.50599999999997</v>
      </c>
      <c r="F112" s="123">
        <v>894.00619999999992</v>
      </c>
      <c r="G112" s="125"/>
      <c r="H112" s="91"/>
      <c r="I112" s="124">
        <v>1212.86625</v>
      </c>
      <c r="J112" s="123">
        <v>1051.01485</v>
      </c>
      <c r="K112" s="123">
        <v>930.95699999999999</v>
      </c>
      <c r="L112" s="123">
        <v>918</v>
      </c>
      <c r="M112" s="125"/>
      <c r="N112" s="1"/>
      <c r="O112" s="124">
        <v>1196</v>
      </c>
      <c r="P112" s="123">
        <v>1210.4322999999999</v>
      </c>
      <c r="Q112" s="123">
        <v>1209</v>
      </c>
      <c r="R112" s="123">
        <v>1044.954</v>
      </c>
      <c r="S112" s="141"/>
      <c r="T112" s="1"/>
      <c r="U112" s="124">
        <v>1320.6960000000001</v>
      </c>
      <c r="V112" s="123">
        <v>1380.4899</v>
      </c>
      <c r="W112" s="123">
        <v>1299.69064</v>
      </c>
      <c r="X112" s="123">
        <v>1082.9213999999999</v>
      </c>
      <c r="Y112" s="141"/>
    </row>
    <row r="113" spans="1:25" ht="11.25" customHeight="1">
      <c r="A113" s="52" t="s">
        <v>101</v>
      </c>
      <c r="B113" s="116"/>
      <c r="C113" s="124">
        <v>637</v>
      </c>
      <c r="D113" s="123">
        <v>713.15099999999995</v>
      </c>
      <c r="E113" s="123">
        <v>833.99599999999998</v>
      </c>
      <c r="F113" s="123">
        <v>904.50019999999995</v>
      </c>
      <c r="G113" s="125">
        <v>3088.6471999999999</v>
      </c>
      <c r="H113" s="1"/>
      <c r="I113" s="124">
        <v>967.86005000000011</v>
      </c>
      <c r="J113" s="123">
        <v>748.14859999999999</v>
      </c>
      <c r="K113" s="123">
        <v>753.94214999999997</v>
      </c>
      <c r="L113" s="123">
        <v>865</v>
      </c>
      <c r="M113" s="125">
        <v>3334.9508000000001</v>
      </c>
      <c r="N113" s="1"/>
      <c r="O113" s="124">
        <v>887</v>
      </c>
      <c r="P113" s="123">
        <v>881.43229999999994</v>
      </c>
      <c r="Q113" s="123">
        <v>874.56770000000006</v>
      </c>
      <c r="R113" s="123">
        <v>777</v>
      </c>
      <c r="S113" s="141">
        <v>3420</v>
      </c>
      <c r="T113" s="1"/>
      <c r="U113" s="124">
        <v>893.38992800000005</v>
      </c>
      <c r="V113" s="123">
        <v>1043.1820049999997</v>
      </c>
      <c r="W113" s="123">
        <v>835.57304999999985</v>
      </c>
      <c r="X113" s="123">
        <v>886.07595199999969</v>
      </c>
      <c r="Y113" s="141">
        <v>3658.2209349999994</v>
      </c>
    </row>
    <row r="114" spans="1:25" ht="11.25" customHeight="1" thickBot="1">
      <c r="A114" s="180" t="s">
        <v>14</v>
      </c>
      <c r="B114" s="95"/>
      <c r="C114" s="184">
        <v>607</v>
      </c>
      <c r="D114" s="185">
        <v>804</v>
      </c>
      <c r="E114" s="185">
        <v>719</v>
      </c>
      <c r="F114" s="185">
        <v>891</v>
      </c>
      <c r="G114" s="209">
        <v>3021</v>
      </c>
      <c r="H114" s="1"/>
      <c r="I114" s="184">
        <v>649</v>
      </c>
      <c r="J114" s="185">
        <v>910</v>
      </c>
      <c r="K114" s="185">
        <v>874</v>
      </c>
      <c r="L114" s="185">
        <v>878</v>
      </c>
      <c r="M114" s="209">
        <v>3311</v>
      </c>
      <c r="N114" s="1"/>
      <c r="O114" s="184">
        <v>609</v>
      </c>
      <c r="P114" s="200">
        <v>867</v>
      </c>
      <c r="Q114" s="200">
        <v>876</v>
      </c>
      <c r="R114" s="200">
        <v>938</v>
      </c>
      <c r="S114" s="208">
        <v>3290</v>
      </c>
      <c r="T114" s="1"/>
      <c r="U114" s="233">
        <v>617.64792799999987</v>
      </c>
      <c r="V114" s="200">
        <v>983.38810499999988</v>
      </c>
      <c r="W114" s="200">
        <v>916.37230999999986</v>
      </c>
      <c r="X114" s="200">
        <v>1102.8451919999998</v>
      </c>
      <c r="Y114" s="208">
        <v>3620.2535349999994</v>
      </c>
    </row>
    <row r="115" spans="1:25" ht="2.25" customHeight="1">
      <c r="A115" s="1"/>
      <c r="B115" s="9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>
      <c r="A116" s="1" t="s">
        <v>126</v>
      </c>
      <c r="B116" s="95"/>
      <c r="C116" s="91">
        <v>0.75443492474860896</v>
      </c>
      <c r="D116" s="91">
        <v>0.7011030028932842</v>
      </c>
      <c r="E116" s="91">
        <v>0.72653599373211708</v>
      </c>
      <c r="F116" s="91">
        <v>0.75166075166075164</v>
      </c>
      <c r="G116" s="91"/>
      <c r="H116" s="1"/>
      <c r="I116" s="91">
        <v>0.85994127576277679</v>
      </c>
      <c r="J116" s="91">
        <v>0.50419449943741013</v>
      </c>
      <c r="K116" s="91">
        <v>0.60002849056142238</v>
      </c>
      <c r="L116" s="91">
        <v>0.69963580601878483</v>
      </c>
      <c r="M116" s="1"/>
      <c r="N116" s="1"/>
      <c r="O116" s="91">
        <v>0.57608695652173914</v>
      </c>
      <c r="P116" s="91">
        <v>0.59972677595628421</v>
      </c>
      <c r="Q116" s="91">
        <v>0.76775818600568835</v>
      </c>
      <c r="R116" s="91">
        <v>0.77613776137761381</v>
      </c>
      <c r="S116" s="91"/>
      <c r="T116" s="1"/>
      <c r="U116" s="91">
        <v>0.69691090663921385</v>
      </c>
      <c r="V116" s="91">
        <v>0.64415909699615947</v>
      </c>
      <c r="W116" s="91">
        <v>0.66696794024956774</v>
      </c>
      <c r="X116" s="91">
        <v>0.67566259104408977</v>
      </c>
      <c r="Y116" s="91"/>
    </row>
    <row r="117" spans="1:25" ht="11.25" customHeight="1">
      <c r="A117" s="1" t="s">
        <v>127</v>
      </c>
      <c r="B117" s="95"/>
      <c r="C117" s="91">
        <v>0.73454757556945582</v>
      </c>
      <c r="D117" s="91">
        <v>0.93885858617705886</v>
      </c>
      <c r="E117" s="91">
        <v>0.93924311896644064</v>
      </c>
      <c r="F117" s="91">
        <v>1.0119181470654375</v>
      </c>
      <c r="G117" s="1"/>
      <c r="H117" s="1"/>
      <c r="I117" s="91">
        <v>0.72594574847467508</v>
      </c>
      <c r="J117" s="91">
        <v>0.75028883028116244</v>
      </c>
      <c r="K117" s="91">
        <v>0.83157721320493239</v>
      </c>
      <c r="L117" s="91">
        <v>0.94311552520685704</v>
      </c>
      <c r="M117" s="1"/>
      <c r="N117" s="1"/>
      <c r="O117" s="91">
        <v>0.66339869281045749</v>
      </c>
      <c r="P117" s="91">
        <v>0.72491638795986624</v>
      </c>
      <c r="Q117" s="91">
        <v>0.72370838088177258</v>
      </c>
      <c r="R117" s="91">
        <v>0.77584780810587262</v>
      </c>
      <c r="S117" s="91"/>
      <c r="T117" s="1"/>
      <c r="U117" s="91">
        <v>0.59107666748966925</v>
      </c>
      <c r="V117" s="91">
        <v>0.7445983822166492</v>
      </c>
      <c r="W117" s="91">
        <v>0.66380225599622267</v>
      </c>
      <c r="X117" s="91">
        <v>0.84854438283867284</v>
      </c>
      <c r="Y117" s="91"/>
    </row>
    <row r="118" spans="1:25">
      <c r="A118" s="1"/>
      <c r="B118" s="9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>
      <c r="A119" s="1"/>
      <c r="B119" s="95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"/>
      <c r="O119" s="140"/>
      <c r="P119" s="140"/>
      <c r="Q119" s="140"/>
      <c r="R119" s="140"/>
      <c r="S119" s="140"/>
      <c r="T119" s="1"/>
      <c r="U119" s="140"/>
      <c r="V119" s="140"/>
      <c r="W119" s="140"/>
      <c r="X119" s="140"/>
      <c r="Y119" s="140"/>
    </row>
    <row r="120" spans="1:25">
      <c r="A120" s="1"/>
      <c r="B120" s="95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"/>
      <c r="O120" s="140"/>
      <c r="P120" s="140"/>
      <c r="Q120" s="140"/>
      <c r="R120" s="140"/>
      <c r="S120" s="140"/>
      <c r="T120" s="1"/>
      <c r="U120" s="140"/>
      <c r="V120" s="140"/>
      <c r="W120" s="140"/>
      <c r="X120" s="140"/>
      <c r="Y120" s="140"/>
    </row>
    <row r="121" spans="1:25">
      <c r="A121" s="1"/>
      <c r="B121" s="95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"/>
      <c r="O121" s="140"/>
      <c r="P121" s="140"/>
      <c r="Q121" s="140"/>
      <c r="R121" s="140"/>
      <c r="S121" s="140"/>
      <c r="T121" s="1"/>
      <c r="U121" s="140"/>
      <c r="V121" s="140"/>
      <c r="W121" s="140"/>
      <c r="X121" s="140"/>
      <c r="Y121" s="140"/>
    </row>
    <row r="122" spans="1:25">
      <c r="A122" s="1"/>
      <c r="B122" s="95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"/>
      <c r="O122" s="140"/>
      <c r="P122" s="140"/>
      <c r="Q122" s="140"/>
      <c r="R122" s="140"/>
      <c r="S122" s="140"/>
      <c r="T122" s="1"/>
      <c r="U122" s="140"/>
      <c r="V122" s="140"/>
      <c r="W122" s="140"/>
      <c r="X122" s="140"/>
      <c r="Y122" s="140"/>
    </row>
    <row r="123" spans="1:25">
      <c r="A123" s="1"/>
      <c r="B123" s="95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"/>
      <c r="O123" s="140"/>
      <c r="P123" s="140"/>
      <c r="Q123" s="140"/>
      <c r="R123" s="140"/>
      <c r="S123" s="140"/>
      <c r="T123" s="1"/>
      <c r="U123" s="140"/>
      <c r="V123" s="140"/>
      <c r="W123" s="140"/>
      <c r="X123" s="140"/>
      <c r="Y123" s="140"/>
    </row>
    <row r="124" spans="1:25">
      <c r="A124" s="1"/>
      <c r="B124" s="9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>
      <c r="A125" s="1"/>
      <c r="B125" s="9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>
      <c r="A126" s="1"/>
      <c r="B126" s="95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"/>
      <c r="O126" s="140"/>
      <c r="P126" s="140"/>
      <c r="Q126" s="140"/>
      <c r="R126" s="140"/>
      <c r="S126" s="140"/>
      <c r="T126" s="1"/>
      <c r="U126" s="140"/>
      <c r="V126" s="140"/>
      <c r="W126" s="140"/>
      <c r="X126" s="140"/>
      <c r="Y126" s="140"/>
    </row>
    <row r="127" spans="1:25">
      <c r="A127" s="1"/>
      <c r="B127" s="95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"/>
      <c r="O127" s="140"/>
      <c r="P127" s="140"/>
      <c r="Q127" s="140"/>
      <c r="R127" s="140"/>
      <c r="S127" s="140"/>
      <c r="T127" s="1"/>
      <c r="U127" s="140"/>
      <c r="V127" s="140"/>
      <c r="W127" s="140"/>
      <c r="X127" s="140"/>
      <c r="Y127" s="140"/>
    </row>
    <row r="128" spans="1:25">
      <c r="A128" s="1"/>
      <c r="B128" s="95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"/>
      <c r="O128" s="140"/>
      <c r="P128" s="140"/>
      <c r="Q128" s="140"/>
      <c r="R128" s="140"/>
      <c r="S128" s="140"/>
      <c r="T128" s="1"/>
      <c r="U128" s="140"/>
      <c r="V128" s="140"/>
      <c r="W128" s="140"/>
      <c r="X128" s="140"/>
      <c r="Y128" s="140"/>
    </row>
    <row r="129" spans="1:25">
      <c r="A129" s="1"/>
      <c r="B129" s="95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"/>
      <c r="O129" s="140"/>
      <c r="P129" s="140"/>
      <c r="Q129" s="140"/>
      <c r="R129" s="140"/>
      <c r="S129" s="140"/>
      <c r="T129" s="1"/>
      <c r="U129" s="140"/>
      <c r="V129" s="140"/>
      <c r="W129" s="140"/>
      <c r="X129" s="140"/>
      <c r="Y129" s="140"/>
    </row>
    <row r="130" spans="1:25">
      <c r="A130" s="1"/>
      <c r="B130" s="95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"/>
      <c r="O130" s="140"/>
      <c r="P130" s="140"/>
      <c r="Q130" s="140"/>
      <c r="R130" s="140"/>
      <c r="S130" s="140"/>
      <c r="T130" s="1"/>
      <c r="U130" s="140"/>
      <c r="V130" s="140"/>
      <c r="W130" s="140"/>
      <c r="X130" s="140"/>
      <c r="Y130" s="140"/>
    </row>
    <row r="131" spans="1:25">
      <c r="A131" s="1"/>
      <c r="B131" s="9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4" spans="1:25">
      <c r="A134" s="1"/>
      <c r="B134" s="95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"/>
      <c r="O134" s="140"/>
      <c r="P134" s="140"/>
      <c r="Q134" s="140"/>
      <c r="R134" s="140"/>
      <c r="S134" s="140"/>
      <c r="T134" s="1"/>
      <c r="U134" s="140"/>
      <c r="V134" s="140"/>
      <c r="W134" s="140"/>
      <c r="X134" s="140"/>
      <c r="Y134" s="140"/>
    </row>
    <row r="135" spans="1:25">
      <c r="A135" s="1"/>
      <c r="B135" s="9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>
      <c r="A136" s="1"/>
      <c r="B136" s="95"/>
      <c r="C136" s="80"/>
      <c r="D136" s="80"/>
      <c r="E136" s="80"/>
      <c r="F136" s="80"/>
      <c r="G136" s="80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>
      <c r="A137" s="1"/>
      <c r="B137" s="95"/>
      <c r="C137" s="130"/>
      <c r="D137" s="130"/>
      <c r="E137" s="130"/>
      <c r="F137" s="130"/>
      <c r="G137" s="130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>
      <c r="A138" s="1"/>
      <c r="B138" s="95"/>
      <c r="C138" s="80"/>
      <c r="D138" s="80"/>
      <c r="E138" s="80"/>
      <c r="F138" s="80"/>
      <c r="G138" s="80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>
      <c r="A139" s="1"/>
      <c r="B139" s="95"/>
      <c r="C139" s="80"/>
      <c r="D139" s="80"/>
      <c r="E139" s="80"/>
      <c r="F139" s="80"/>
      <c r="G139" s="80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>
      <c r="A140" s="1"/>
      <c r="B140" s="95"/>
      <c r="C140" s="80"/>
      <c r="D140" s="80"/>
      <c r="E140" s="80"/>
      <c r="F140" s="80"/>
      <c r="G140" s="80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>
      <c r="A141" s="1"/>
      <c r="B141" s="95"/>
      <c r="C141" s="80"/>
      <c r="D141" s="80"/>
      <c r="E141" s="80"/>
      <c r="F141" s="80"/>
      <c r="G141" s="80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>
      <c r="A142" s="1"/>
      <c r="B142" s="95"/>
      <c r="C142" s="80"/>
      <c r="D142" s="80"/>
      <c r="E142" s="80"/>
      <c r="F142" s="80"/>
      <c r="G142" s="80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>
      <c r="A143" s="1"/>
      <c r="B143" s="95"/>
      <c r="C143" s="80"/>
      <c r="D143" s="80"/>
      <c r="E143" s="80"/>
      <c r="F143" s="80"/>
      <c r="G143" s="80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>
      <c r="A144" s="1"/>
      <c r="B144" s="95"/>
      <c r="C144" s="80"/>
      <c r="D144" s="80"/>
      <c r="E144" s="80"/>
      <c r="F144" s="80"/>
      <c r="G144" s="80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>
      <c r="A145" s="1"/>
      <c r="B145" s="95"/>
      <c r="C145" s="80"/>
      <c r="D145" s="80"/>
      <c r="E145" s="80"/>
      <c r="F145" s="80"/>
      <c r="G145" s="80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>
      <c r="A146" s="1"/>
      <c r="B146" s="95"/>
      <c r="C146" s="80"/>
      <c r="D146" s="80"/>
      <c r="E146" s="80"/>
      <c r="F146" s="80"/>
      <c r="G146" s="80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>
      <c r="A147" s="1"/>
      <c r="B147" s="95"/>
      <c r="C147" s="80"/>
      <c r="D147" s="80"/>
      <c r="E147" s="80"/>
      <c r="F147" s="80"/>
      <c r="G147" s="80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>
      <c r="A148" s="1"/>
      <c r="B148" s="95"/>
      <c r="C148" s="80"/>
      <c r="D148" s="80"/>
      <c r="E148" s="80"/>
      <c r="F148" s="80"/>
      <c r="G148" s="80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>
      <c r="A149" s="1"/>
      <c r="B149" s="95"/>
      <c r="C149" s="80"/>
      <c r="D149" s="80"/>
      <c r="E149" s="80"/>
      <c r="F149" s="80"/>
      <c r="G149" s="80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>
      <c r="A150" s="1"/>
      <c r="B150" s="95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</sheetData>
  <pageMargins left="0.15748031496062992" right="0.15748031496062992" top="0.39370078740157483" bottom="0.31496062992125984" header="0.51181102362204722" footer="0.15748031496062992"/>
  <pageSetup paperSize="8" scale="87" orientation="portrait" r:id="rId1"/>
  <headerFooter alignWithMargins="0">
    <oddFooter>&amp;R&amp;D &amp;T</oddFooter>
  </headerFooter>
  <rowBreaks count="2" manualBreakCount="2">
    <brk id="56" max="24" man="1"/>
    <brk id="73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104"/>
  <sheetViews>
    <sheetView showGridLines="0" zoomScaleNormal="100" workbookViewId="0">
      <pane xSplit="1" topLeftCell="AY1" activePane="topRight" state="frozen"/>
      <selection pane="topRight" activeCell="BH101" sqref="BH101"/>
      <selection activeCell="AZ56" sqref="AZ56"/>
    </sheetView>
  </sheetViews>
  <sheetFormatPr defaultColWidth="9.140625" defaultRowHeight="11.25"/>
  <cols>
    <col min="1" max="1" width="23.42578125" style="29" customWidth="1"/>
    <col min="2" max="2" width="1.42578125" style="28" hidden="1" customWidth="1"/>
    <col min="3" max="7" width="6.42578125" style="29" hidden="1" customWidth="1"/>
    <col min="8" max="8" width="1.85546875" style="29" hidden="1" customWidth="1"/>
    <col min="9" max="11" width="6.42578125" style="29" hidden="1" customWidth="1"/>
    <col min="12" max="12" width="6.5703125" style="29" hidden="1" customWidth="1"/>
    <col min="13" max="13" width="6.42578125" style="29" hidden="1" customWidth="1"/>
    <col min="14" max="14" width="0.85546875" style="29" hidden="1" customWidth="1"/>
    <col min="15" max="17" width="6.42578125" style="29" hidden="1" customWidth="1"/>
    <col min="18" max="18" width="7" style="29" hidden="1" customWidth="1"/>
    <col min="19" max="19" width="6.42578125" style="29" hidden="1" customWidth="1"/>
    <col min="20" max="20" width="3.140625" style="29" hidden="1" customWidth="1"/>
    <col min="21" max="22" width="6.42578125" style="29" hidden="1" customWidth="1"/>
    <col min="23" max="23" width="7" style="29" hidden="1" customWidth="1"/>
    <col min="24" max="25" width="6.42578125" style="29" hidden="1" customWidth="1"/>
    <col min="26" max="26" width="0.85546875" style="29" hidden="1" customWidth="1"/>
    <col min="27" max="31" width="6.42578125" style="29" hidden="1" customWidth="1"/>
    <col min="32" max="32" width="0.85546875" style="29" hidden="1" customWidth="1"/>
    <col min="33" max="37" width="6.42578125" style="29" hidden="1" customWidth="1"/>
    <col min="38" max="38" width="0.85546875" style="29" hidden="1" customWidth="1"/>
    <col min="39" max="41" width="6.42578125" style="29" hidden="1" customWidth="1"/>
    <col min="42" max="42" width="6.5703125" style="29" hidden="1" customWidth="1"/>
    <col min="43" max="43" width="6.42578125" style="29" hidden="1" customWidth="1"/>
    <col min="44" max="44" width="0.85546875" style="29" hidden="1" customWidth="1"/>
    <col min="45" max="49" width="6.42578125" style="29" hidden="1" customWidth="1"/>
    <col min="50" max="50" width="0.85546875" style="29" hidden="1" customWidth="1"/>
    <col min="51" max="51" width="6.42578125" style="29" customWidth="1"/>
    <col min="52" max="55" width="6.42578125" style="29" bestFit="1" customWidth="1"/>
    <col min="56" max="56" width="1.140625" style="29" customWidth="1"/>
    <col min="57" max="57" width="6.42578125" style="29" bestFit="1" customWidth="1"/>
    <col min="58" max="61" width="6.85546875" style="29" customWidth="1"/>
    <col min="62" max="62" width="0.85546875" style="29" customWidth="1"/>
    <col min="63" max="67" width="6.85546875" style="29" customWidth="1"/>
    <col min="68" max="68" width="0.85546875" style="34" customWidth="1"/>
    <col min="69" max="73" width="6.85546875" style="29" customWidth="1"/>
    <col min="74" max="74" width="0.85546875" style="29" customWidth="1"/>
    <col min="75" max="79" width="6.85546875" style="29" customWidth="1"/>
    <col min="80" max="80" width="1" style="29" customWidth="1"/>
    <col min="81" max="85" width="6.85546875" style="29" customWidth="1"/>
    <col min="86" max="16384" width="9.140625" style="29"/>
  </cols>
  <sheetData>
    <row r="1" spans="1:85" ht="16.5" thickBot="1">
      <c r="A1" s="27" t="s">
        <v>102</v>
      </c>
      <c r="B1" s="95"/>
      <c r="C1" s="266">
        <v>2007</v>
      </c>
      <c r="D1" s="267"/>
      <c r="E1" s="267"/>
      <c r="F1" s="267"/>
      <c r="G1" s="268"/>
      <c r="H1" s="1"/>
      <c r="I1" s="266">
        <v>2008</v>
      </c>
      <c r="J1" s="267"/>
      <c r="K1" s="267"/>
      <c r="L1" s="267"/>
      <c r="M1" s="268"/>
      <c r="N1" s="1"/>
      <c r="O1" s="266">
        <v>2009</v>
      </c>
      <c r="P1" s="267"/>
      <c r="Q1" s="267"/>
      <c r="R1" s="267"/>
      <c r="S1" s="268"/>
      <c r="T1" s="1"/>
      <c r="U1" s="30"/>
      <c r="V1" s="31">
        <v>2010</v>
      </c>
      <c r="W1" s="31"/>
      <c r="X1" s="31"/>
      <c r="Y1" s="32" t="s">
        <v>128</v>
      </c>
      <c r="Z1" s="1"/>
      <c r="AA1" s="30">
        <v>2011</v>
      </c>
      <c r="AB1" s="31"/>
      <c r="AC1" s="31"/>
      <c r="AD1" s="31"/>
      <c r="AE1" s="32"/>
      <c r="AF1" s="1"/>
      <c r="AG1" s="30">
        <v>2012</v>
      </c>
      <c r="AH1" s="31"/>
      <c r="AI1" s="31"/>
      <c r="AJ1" s="31"/>
      <c r="AK1" s="32"/>
      <c r="AL1" s="1"/>
      <c r="AM1" s="33">
        <v>2013</v>
      </c>
      <c r="AN1" s="31"/>
      <c r="AO1" s="31"/>
      <c r="AP1" s="31"/>
      <c r="AQ1" s="32"/>
      <c r="AR1" s="1"/>
      <c r="AS1" s="33">
        <v>2014</v>
      </c>
      <c r="AT1" s="31"/>
      <c r="AU1" s="31"/>
      <c r="AV1" s="31"/>
      <c r="AW1" s="32"/>
      <c r="AX1" s="1"/>
      <c r="AY1" s="33">
        <v>2015</v>
      </c>
      <c r="AZ1" s="31"/>
      <c r="BA1" s="31"/>
      <c r="BB1" s="31"/>
      <c r="BC1" s="32"/>
      <c r="BD1" s="1"/>
      <c r="BE1" s="33">
        <v>2016</v>
      </c>
      <c r="BF1" s="31"/>
      <c r="BG1" s="31"/>
      <c r="BH1" s="31"/>
      <c r="BI1" s="32"/>
      <c r="BJ1" s="1"/>
      <c r="BK1" s="33">
        <v>2017</v>
      </c>
      <c r="BL1" s="31"/>
      <c r="BM1" s="31"/>
      <c r="BN1" s="31"/>
      <c r="BO1" s="32"/>
      <c r="BP1" s="96"/>
      <c r="BQ1" s="33">
        <v>2018</v>
      </c>
      <c r="BR1" s="32"/>
      <c r="BS1" s="32"/>
      <c r="BT1" s="32"/>
      <c r="BU1" s="32"/>
      <c r="BV1" s="1"/>
      <c r="BW1" s="33">
        <v>2019</v>
      </c>
      <c r="BX1" s="32"/>
      <c r="BY1" s="32"/>
      <c r="BZ1" s="32"/>
      <c r="CA1" s="32"/>
      <c r="CB1" s="1"/>
      <c r="CC1" s="33">
        <v>2020</v>
      </c>
      <c r="CD1" s="33"/>
      <c r="CE1" s="33"/>
      <c r="CF1" s="33"/>
      <c r="CG1" s="33"/>
    </row>
    <row r="2" spans="1:85" ht="12" thickBot="1">
      <c r="A2" s="35" t="s">
        <v>81</v>
      </c>
      <c r="B2" s="36"/>
      <c r="C2" s="37" t="s">
        <v>129</v>
      </c>
      <c r="D2" s="38" t="s">
        <v>130</v>
      </c>
      <c r="E2" s="38" t="s">
        <v>131</v>
      </c>
      <c r="F2" s="38" t="s">
        <v>132</v>
      </c>
      <c r="G2" s="39" t="s">
        <v>82</v>
      </c>
      <c r="H2" s="1"/>
      <c r="I2" s="37" t="s">
        <v>133</v>
      </c>
      <c r="J2" s="38" t="s">
        <v>134</v>
      </c>
      <c r="K2" s="38" t="s">
        <v>135</v>
      </c>
      <c r="L2" s="38" t="s">
        <v>136</v>
      </c>
      <c r="M2" s="39" t="s">
        <v>82</v>
      </c>
      <c r="N2" s="1"/>
      <c r="O2" s="40" t="s">
        <v>137</v>
      </c>
      <c r="P2" s="41" t="s">
        <v>138</v>
      </c>
      <c r="Q2" s="38" t="s">
        <v>139</v>
      </c>
      <c r="R2" s="38" t="s">
        <v>140</v>
      </c>
      <c r="S2" s="39" t="s">
        <v>82</v>
      </c>
      <c r="T2" s="1"/>
      <c r="U2" s="40" t="s">
        <v>141</v>
      </c>
      <c r="V2" s="41" t="s">
        <v>142</v>
      </c>
      <c r="W2" s="41" t="s">
        <v>143</v>
      </c>
      <c r="X2" s="41" t="s">
        <v>144</v>
      </c>
      <c r="Y2" s="42" t="s">
        <v>82</v>
      </c>
      <c r="Z2" s="1"/>
      <c r="AA2" s="40" t="s">
        <v>145</v>
      </c>
      <c r="AB2" s="41" t="s">
        <v>146</v>
      </c>
      <c r="AC2" s="41" t="s">
        <v>147</v>
      </c>
      <c r="AD2" s="41" t="s">
        <v>148</v>
      </c>
      <c r="AE2" s="42" t="s">
        <v>82</v>
      </c>
      <c r="AF2" s="1"/>
      <c r="AG2" s="40" t="s">
        <v>149</v>
      </c>
      <c r="AH2" s="41" t="s">
        <v>150</v>
      </c>
      <c r="AI2" s="41" t="s">
        <v>151</v>
      </c>
      <c r="AJ2" s="41" t="s">
        <v>152</v>
      </c>
      <c r="AK2" s="42" t="s">
        <v>82</v>
      </c>
      <c r="AL2" s="1"/>
      <c r="AM2" s="40" t="s">
        <v>153</v>
      </c>
      <c r="AN2" s="41" t="s">
        <v>154</v>
      </c>
      <c r="AO2" s="41" t="s">
        <v>155</v>
      </c>
      <c r="AP2" s="41" t="s">
        <v>156</v>
      </c>
      <c r="AQ2" s="42" t="s">
        <v>82</v>
      </c>
      <c r="AR2" s="1"/>
      <c r="AS2" s="40" t="s">
        <v>157</v>
      </c>
      <c r="AT2" s="41" t="s">
        <v>158</v>
      </c>
      <c r="AU2" s="41" t="s">
        <v>159</v>
      </c>
      <c r="AV2" s="41" t="s">
        <v>160</v>
      </c>
      <c r="AW2" s="42" t="s">
        <v>82</v>
      </c>
      <c r="AX2" s="1"/>
      <c r="AY2" s="40" t="s">
        <v>161</v>
      </c>
      <c r="AZ2" s="41" t="s">
        <v>162</v>
      </c>
      <c r="BA2" s="41" t="s">
        <v>163</v>
      </c>
      <c r="BB2" s="41" t="s">
        <v>164</v>
      </c>
      <c r="BC2" s="42" t="s">
        <v>82</v>
      </c>
      <c r="BD2" s="1"/>
      <c r="BE2" s="40" t="s">
        <v>165</v>
      </c>
      <c r="BF2" s="41" t="s">
        <v>166</v>
      </c>
      <c r="BG2" s="41" t="s">
        <v>167</v>
      </c>
      <c r="BH2" s="41" t="s">
        <v>168</v>
      </c>
      <c r="BI2" s="42" t="s">
        <v>82</v>
      </c>
      <c r="BJ2" s="1"/>
      <c r="BK2" s="40" t="s">
        <v>169</v>
      </c>
      <c r="BL2" s="41" t="s">
        <v>170</v>
      </c>
      <c r="BM2" s="41" t="s">
        <v>171</v>
      </c>
      <c r="BN2" s="41" t="s">
        <v>172</v>
      </c>
      <c r="BO2" s="42" t="s">
        <v>82</v>
      </c>
      <c r="BP2" s="96"/>
      <c r="BQ2" s="40" t="s">
        <v>173</v>
      </c>
      <c r="BR2" s="41" t="s">
        <v>174</v>
      </c>
      <c r="BS2" s="41" t="s">
        <v>175</v>
      </c>
      <c r="BT2" s="41" t="s">
        <v>176</v>
      </c>
      <c r="BU2" s="42" t="s">
        <v>82</v>
      </c>
      <c r="BV2" s="1"/>
      <c r="BW2" s="40" t="s">
        <v>42</v>
      </c>
      <c r="BX2" s="41" t="s">
        <v>43</v>
      </c>
      <c r="BY2" s="41" t="s">
        <v>44</v>
      </c>
      <c r="BZ2" s="41" t="s">
        <v>45</v>
      </c>
      <c r="CA2" s="42" t="s">
        <v>82</v>
      </c>
      <c r="CB2" s="1"/>
      <c r="CC2" s="40" t="s">
        <v>46</v>
      </c>
      <c r="CD2" s="41" t="s">
        <v>47</v>
      </c>
      <c r="CE2" s="41" t="s">
        <v>48</v>
      </c>
      <c r="CF2" s="41" t="s">
        <v>49</v>
      </c>
      <c r="CG2" s="42" t="s">
        <v>82</v>
      </c>
    </row>
    <row r="3" spans="1:85" ht="5.25" customHeight="1">
      <c r="A3" s="52"/>
      <c r="B3" s="95"/>
      <c r="C3" s="97"/>
      <c r="D3" s="1"/>
      <c r="E3" s="1"/>
      <c r="F3" s="1"/>
      <c r="G3" s="98"/>
      <c r="H3" s="1"/>
      <c r="I3" s="97"/>
      <c r="J3" s="1"/>
      <c r="K3" s="1"/>
      <c r="L3" s="1"/>
      <c r="M3" s="98"/>
      <c r="N3" s="1"/>
      <c r="O3" s="97"/>
      <c r="P3" s="1"/>
      <c r="Q3" s="1"/>
      <c r="R3" s="1"/>
      <c r="S3" s="98"/>
      <c r="T3" s="1"/>
      <c r="U3" s="97"/>
      <c r="V3" s="99"/>
      <c r="W3" s="99"/>
      <c r="X3" s="99"/>
      <c r="Y3" s="98"/>
      <c r="Z3" s="1"/>
      <c r="AA3" s="97"/>
      <c r="AB3" s="99"/>
      <c r="AC3" s="99"/>
      <c r="AD3" s="99"/>
      <c r="AE3" s="98"/>
      <c r="AF3" s="1"/>
      <c r="AG3" s="97"/>
      <c r="AH3" s="99"/>
      <c r="AI3" s="99"/>
      <c r="AJ3" s="99"/>
      <c r="AK3" s="98"/>
      <c r="AL3" s="1"/>
      <c r="AM3" s="97"/>
      <c r="AN3" s="99"/>
      <c r="AO3" s="99"/>
      <c r="AP3" s="99"/>
      <c r="AQ3" s="98"/>
      <c r="AR3" s="1"/>
      <c r="AS3" s="97"/>
      <c r="AT3" s="99"/>
      <c r="AU3" s="99"/>
      <c r="AV3" s="99"/>
      <c r="AW3" s="98"/>
      <c r="AX3" s="1"/>
      <c r="AY3" s="97"/>
      <c r="AZ3" s="99"/>
      <c r="BA3" s="99"/>
      <c r="BB3" s="99"/>
      <c r="BC3" s="98"/>
      <c r="BD3" s="1"/>
      <c r="BE3" s="97"/>
      <c r="BF3" s="99"/>
      <c r="BG3" s="99"/>
      <c r="BH3" s="99"/>
      <c r="BI3" s="98"/>
      <c r="BJ3" s="1"/>
      <c r="BK3" s="97"/>
      <c r="BL3" s="99"/>
      <c r="BM3" s="99"/>
      <c r="BN3" s="99"/>
      <c r="BO3" s="98"/>
      <c r="BP3" s="96"/>
      <c r="BQ3" s="97"/>
      <c r="BR3" s="99"/>
      <c r="BS3" s="99"/>
      <c r="BT3" s="99"/>
      <c r="BU3" s="98"/>
      <c r="BV3" s="1"/>
      <c r="BW3" s="97"/>
      <c r="BX3" s="99"/>
      <c r="BY3" s="99"/>
      <c r="BZ3" s="99"/>
      <c r="CA3" s="98"/>
      <c r="CB3" s="1"/>
      <c r="CC3" s="97"/>
      <c r="CD3" s="99"/>
      <c r="CE3" s="99"/>
      <c r="CF3" s="99"/>
      <c r="CG3" s="98"/>
    </row>
    <row r="4" spans="1:85" s="55" customFormat="1" ht="12" customHeight="1">
      <c r="A4" s="100" t="s">
        <v>103</v>
      </c>
      <c r="B4" s="101"/>
      <c r="C4" s="102">
        <v>594.9</v>
      </c>
      <c r="D4" s="103">
        <v>662.1</v>
      </c>
      <c r="E4" s="103">
        <v>639.29999999999995</v>
      </c>
      <c r="F4" s="103">
        <v>729.2</v>
      </c>
      <c r="G4" s="104">
        <v>2625.5</v>
      </c>
      <c r="H4" s="56"/>
      <c r="I4" s="102">
        <v>601.70000000000005</v>
      </c>
      <c r="J4" s="103">
        <v>663.9</v>
      </c>
      <c r="K4" s="103">
        <v>652.9</v>
      </c>
      <c r="L4" s="103">
        <v>859.40000000000009</v>
      </c>
      <c r="M4" s="104">
        <v>2777.9</v>
      </c>
      <c r="N4" s="56"/>
      <c r="O4" s="102">
        <v>605.4</v>
      </c>
      <c r="P4" s="103">
        <v>671.1</v>
      </c>
      <c r="Q4" s="103">
        <v>713.6</v>
      </c>
      <c r="R4" s="103">
        <v>751.2</v>
      </c>
      <c r="S4" s="104">
        <v>2741.3</v>
      </c>
      <c r="T4" s="56"/>
      <c r="U4" s="102">
        <v>587.29999999999995</v>
      </c>
      <c r="V4" s="103">
        <v>721.5</v>
      </c>
      <c r="W4" s="103">
        <v>782.8</v>
      </c>
      <c r="X4" s="103">
        <v>785.6</v>
      </c>
      <c r="Y4" s="104">
        <v>2877.2</v>
      </c>
      <c r="Z4" s="56"/>
      <c r="AA4" s="102">
        <v>746</v>
      </c>
      <c r="AB4" s="103">
        <v>904.90000000000009</v>
      </c>
      <c r="AC4" s="103">
        <v>979</v>
      </c>
      <c r="AD4" s="103">
        <v>885.90000000000009</v>
      </c>
      <c r="AE4" s="104">
        <v>3515.8</v>
      </c>
      <c r="AF4" s="56"/>
      <c r="AG4" s="102">
        <v>797.9</v>
      </c>
      <c r="AH4" s="103">
        <v>905.6</v>
      </c>
      <c r="AI4" s="103">
        <v>1060.5999999999999</v>
      </c>
      <c r="AJ4" s="103">
        <v>1143</v>
      </c>
      <c r="AK4" s="104">
        <v>3907.1</v>
      </c>
      <c r="AL4" s="56"/>
      <c r="AM4" s="102">
        <v>932.9</v>
      </c>
      <c r="AN4" s="103">
        <v>1129.2</v>
      </c>
      <c r="AO4" s="103">
        <v>1189.7</v>
      </c>
      <c r="AP4" s="103">
        <v>1169.2</v>
      </c>
      <c r="AQ4" s="104">
        <v>4421</v>
      </c>
      <c r="AR4" s="56"/>
      <c r="AS4" s="102">
        <v>1021.8</v>
      </c>
      <c r="AT4" s="103">
        <v>1138.8999999999999</v>
      </c>
      <c r="AU4" s="103">
        <v>1187.8</v>
      </c>
      <c r="AV4" s="103">
        <v>1400.5</v>
      </c>
      <c r="AW4" s="104">
        <v>4749</v>
      </c>
      <c r="AX4" s="56"/>
      <c r="AY4" s="102">
        <v>1106.9000000000001</v>
      </c>
      <c r="AZ4" s="103">
        <v>1472</v>
      </c>
      <c r="BA4" s="103">
        <v>1748.4</v>
      </c>
      <c r="BB4" s="103">
        <v>1815.6</v>
      </c>
      <c r="BC4" s="104">
        <v>6142.9</v>
      </c>
      <c r="BD4" s="56"/>
      <c r="BE4" s="102">
        <v>1359.5</v>
      </c>
      <c r="BF4" s="103">
        <v>1769.9</v>
      </c>
      <c r="BG4" s="103">
        <v>1714.6</v>
      </c>
      <c r="BH4" s="103">
        <v>1765.8999999999996</v>
      </c>
      <c r="BI4" s="104">
        <v>6609.9</v>
      </c>
      <c r="BJ4" s="56"/>
      <c r="BK4" s="102">
        <v>1563.7</v>
      </c>
      <c r="BL4" s="103">
        <v>1972</v>
      </c>
      <c r="BM4" s="103">
        <v>1855.4</v>
      </c>
      <c r="BN4" s="103">
        <v>2041.0000000000007</v>
      </c>
      <c r="BO4" s="104">
        <v>7432.1</v>
      </c>
      <c r="BP4" s="56"/>
      <c r="BQ4" s="102">
        <v>1754.2</v>
      </c>
      <c r="BR4" s="103">
        <v>2127.5</v>
      </c>
      <c r="BS4" s="103">
        <v>2246.9</v>
      </c>
      <c r="BT4" s="103">
        <v>2467.2000000000016</v>
      </c>
      <c r="BU4" s="104">
        <v>8595.8000000000011</v>
      </c>
      <c r="BV4" s="56"/>
      <c r="BW4" s="102">
        <v>2080.5</v>
      </c>
      <c r="BX4" s="103">
        <v>2318.6999999999998</v>
      </c>
      <c r="BY4" s="103">
        <v>2378.1999999999998</v>
      </c>
      <c r="BZ4" s="103">
        <v>2568.8999999999996</v>
      </c>
      <c r="CA4" s="104">
        <v>9346.2999999999993</v>
      </c>
      <c r="CB4" s="56"/>
      <c r="CC4" s="102">
        <v>2302</v>
      </c>
      <c r="CD4" s="103">
        <v>2319.1999999999998</v>
      </c>
      <c r="CE4" s="103">
        <v>2578.1999999999998</v>
      </c>
      <c r="CF4" s="103">
        <v>2741.8999999999996</v>
      </c>
      <c r="CG4" s="104">
        <v>9941.2999999999993</v>
      </c>
    </row>
    <row r="5" spans="1:85">
      <c r="A5" s="54" t="s">
        <v>104</v>
      </c>
      <c r="B5" s="43"/>
      <c r="C5" s="44"/>
      <c r="D5" s="43"/>
      <c r="E5" s="43"/>
      <c r="F5" s="43"/>
      <c r="G5" s="45"/>
      <c r="H5" s="1"/>
      <c r="I5" s="44">
        <v>1.1430492519751256E-2</v>
      </c>
      <c r="J5" s="43">
        <v>2.7186225645672302E-3</v>
      </c>
      <c r="K5" s="43">
        <v>2.1273267636477522E-2</v>
      </c>
      <c r="L5" s="43">
        <v>0.17855183763027971</v>
      </c>
      <c r="M5" s="45">
        <v>5.804608645972209E-2</v>
      </c>
      <c r="N5" s="1"/>
      <c r="O5" s="44">
        <v>6.1492438092072277E-3</v>
      </c>
      <c r="P5" s="43">
        <v>1.0845006778129385E-2</v>
      </c>
      <c r="Q5" s="43">
        <v>9.2969826926022403E-2</v>
      </c>
      <c r="R5" s="43">
        <v>-0.12590179194787066</v>
      </c>
      <c r="S5" s="45">
        <v>-1.3175420281507533E-2</v>
      </c>
      <c r="T5" s="1"/>
      <c r="U5" s="44">
        <v>-2.9897588371324835E-2</v>
      </c>
      <c r="V5" s="43">
        <v>7.5100581135449263E-2</v>
      </c>
      <c r="W5" s="43">
        <v>9.6973094170403451E-2</v>
      </c>
      <c r="X5" s="43">
        <v>4.5793397231096877E-2</v>
      </c>
      <c r="Y5" s="45">
        <v>4.9575019151497424E-2</v>
      </c>
      <c r="Z5" s="1"/>
      <c r="AA5" s="44">
        <v>0.27021964924229525</v>
      </c>
      <c r="AB5" s="43">
        <v>0.25419265419265424</v>
      </c>
      <c r="AC5" s="43">
        <v>0.25063873275421567</v>
      </c>
      <c r="AD5" s="43">
        <v>0.12767311608961318</v>
      </c>
      <c r="AE5" s="45">
        <v>0.22195189767829859</v>
      </c>
      <c r="AF5" s="1"/>
      <c r="AG5" s="44">
        <v>6.9571045576407586E-2</v>
      </c>
      <c r="AH5" s="43">
        <v>7.7356613990486878E-4</v>
      </c>
      <c r="AI5" s="43">
        <v>8.3350357507660844E-2</v>
      </c>
      <c r="AJ5" s="43">
        <v>0.29021334236369789</v>
      </c>
      <c r="AK5" s="45">
        <v>0.11129757096535631</v>
      </c>
      <c r="AL5" s="1"/>
      <c r="AM5" s="44">
        <v>0.16919413460333366</v>
      </c>
      <c r="AN5" s="43">
        <v>0.24690812720848054</v>
      </c>
      <c r="AO5" s="43">
        <v>0.12172355270601565</v>
      </c>
      <c r="AP5" s="43">
        <v>2.2922134733158295E-2</v>
      </c>
      <c r="AQ5" s="45">
        <v>0.13152977912006358</v>
      </c>
      <c r="AR5" s="1"/>
      <c r="AS5" s="44">
        <v>9.5294243756029573E-2</v>
      </c>
      <c r="AT5" s="43">
        <v>8.5901523202265295E-3</v>
      </c>
      <c r="AU5" s="43">
        <v>-1.5970412709087611E-3</v>
      </c>
      <c r="AV5" s="43">
        <v>0.19782757440985277</v>
      </c>
      <c r="AW5" s="45">
        <v>7.4191359420945568E-2</v>
      </c>
      <c r="AX5" s="1"/>
      <c r="AY5" s="44">
        <v>8.3284400078293297E-2</v>
      </c>
      <c r="AZ5" s="43">
        <v>0.29247519536394773</v>
      </c>
      <c r="BA5" s="43">
        <v>0.47196497726890052</v>
      </c>
      <c r="BB5" s="43">
        <v>0.2963941449482328</v>
      </c>
      <c r="BC5" s="45">
        <v>0.29351442408928197</v>
      </c>
      <c r="BD5" s="1"/>
      <c r="BE5" s="44">
        <v>0.22820489655795462</v>
      </c>
      <c r="BF5" s="43">
        <v>0.20237771739130439</v>
      </c>
      <c r="BG5" s="43">
        <v>-1.9331960649736968E-2</v>
      </c>
      <c r="BH5" s="43">
        <v>-2.7373870896673425E-2</v>
      </c>
      <c r="BI5" s="45">
        <v>7.6022725422845827E-2</v>
      </c>
      <c r="BJ5" s="1"/>
      <c r="BK5" s="44">
        <v>0.15020228025009197</v>
      </c>
      <c r="BL5" s="43">
        <v>0.11418724221707444</v>
      </c>
      <c r="BM5" s="43">
        <v>8.2118278315642224E-2</v>
      </c>
      <c r="BN5" s="43">
        <v>0.15578458576363396</v>
      </c>
      <c r="BO5" s="45">
        <v>0.12438917381503511</v>
      </c>
      <c r="BP5" s="96"/>
      <c r="BQ5" s="44">
        <v>0.12182643729615661</v>
      </c>
      <c r="BR5" s="43">
        <v>7.8853955375253637E-2</v>
      </c>
      <c r="BS5" s="43">
        <v>0.21100571305378901</v>
      </c>
      <c r="BT5" s="43">
        <v>0.20881920627143602</v>
      </c>
      <c r="BU5" s="45">
        <v>0.15657754874127106</v>
      </c>
      <c r="BV5" s="96"/>
      <c r="BW5" s="44">
        <v>0.18601071713601636</v>
      </c>
      <c r="BX5" s="70">
        <v>8.9870740305522778E-2</v>
      </c>
      <c r="BY5" s="70">
        <v>5.8436067470737374E-2</v>
      </c>
      <c r="BZ5" s="70">
        <v>4.1220817120621644E-2</v>
      </c>
      <c r="CA5" s="45">
        <v>8.7310081667790973E-2</v>
      </c>
      <c r="CB5" s="96"/>
      <c r="CC5" s="44">
        <v>0.10646479211727944</v>
      </c>
      <c r="CD5" s="70">
        <v>2.1563807305824412E-4</v>
      </c>
      <c r="CE5" s="70">
        <v>8.4097216382137852E-2</v>
      </c>
      <c r="CF5" s="70">
        <v>6.7343999377165398E-2</v>
      </c>
      <c r="CG5" s="45">
        <v>6.3661555909825251E-2</v>
      </c>
    </row>
    <row r="6" spans="1:85" ht="5.25" customHeight="1">
      <c r="A6" s="53"/>
      <c r="B6" s="105"/>
      <c r="C6" s="106"/>
      <c r="D6" s="105"/>
      <c r="E6" s="105"/>
      <c r="F6" s="105"/>
      <c r="G6" s="107"/>
      <c r="H6" s="1"/>
      <c r="I6" s="106"/>
      <c r="J6" s="105"/>
      <c r="K6" s="105"/>
      <c r="L6" s="105"/>
      <c r="M6" s="107"/>
      <c r="N6" s="1"/>
      <c r="O6" s="106"/>
      <c r="P6" s="105"/>
      <c r="Q6" s="105"/>
      <c r="R6" s="105"/>
      <c r="S6" s="107"/>
      <c r="T6" s="1"/>
      <c r="U6" s="106"/>
      <c r="V6" s="105"/>
      <c r="W6" s="105"/>
      <c r="X6" s="105"/>
      <c r="Y6" s="107"/>
      <c r="Z6" s="1"/>
      <c r="AA6" s="106"/>
      <c r="AB6" s="105"/>
      <c r="AC6" s="105"/>
      <c r="AD6" s="105"/>
      <c r="AE6" s="107"/>
      <c r="AF6" s="1"/>
      <c r="AG6" s="106"/>
      <c r="AH6" s="105"/>
      <c r="AI6" s="105"/>
      <c r="AJ6" s="105"/>
      <c r="AK6" s="107"/>
      <c r="AL6" s="1"/>
      <c r="AM6" s="106"/>
      <c r="AN6" s="105"/>
      <c r="AO6" s="105"/>
      <c r="AP6" s="105"/>
      <c r="AQ6" s="107"/>
      <c r="AR6" s="1"/>
      <c r="AS6" s="106"/>
      <c r="AT6" s="105"/>
      <c r="AU6" s="105"/>
      <c r="AV6" s="105"/>
      <c r="AW6" s="107"/>
      <c r="AX6" s="1"/>
      <c r="AY6" s="106"/>
      <c r="AZ6" s="105"/>
      <c r="BA6" s="105"/>
      <c r="BB6" s="105"/>
      <c r="BC6" s="107"/>
      <c r="BD6" s="1"/>
      <c r="BE6" s="106"/>
      <c r="BF6" s="105"/>
      <c r="BG6" s="105"/>
      <c r="BH6" s="105"/>
      <c r="BI6" s="107"/>
      <c r="BJ6" s="1"/>
      <c r="BK6" s="106"/>
      <c r="BL6" s="105"/>
      <c r="BM6" s="105"/>
      <c r="BN6" s="105"/>
      <c r="BO6" s="108"/>
      <c r="BP6" s="96"/>
      <c r="BQ6" s="106"/>
      <c r="BR6" s="105"/>
      <c r="BS6" s="105"/>
      <c r="BT6" s="105"/>
      <c r="BU6" s="108"/>
      <c r="BV6" s="96"/>
      <c r="BW6" s="106"/>
      <c r="BX6" s="105"/>
      <c r="BY6" s="105"/>
      <c r="BZ6" s="105"/>
      <c r="CA6" s="108"/>
      <c r="CB6" s="96"/>
      <c r="CC6" s="106"/>
      <c r="CD6" s="105"/>
      <c r="CE6" s="105"/>
      <c r="CF6" s="105"/>
      <c r="CG6" s="108"/>
    </row>
    <row r="7" spans="1:85" s="55" customFormat="1" ht="11.25" customHeight="1">
      <c r="A7" s="109" t="s">
        <v>105</v>
      </c>
      <c r="B7" s="101"/>
      <c r="C7" s="110">
        <v>349.745</v>
      </c>
      <c r="D7" s="101">
        <v>381.84500000000003</v>
      </c>
      <c r="E7" s="101">
        <v>359.245</v>
      </c>
      <c r="F7" s="101">
        <v>422.34500000000003</v>
      </c>
      <c r="G7" s="81">
        <v>1513.18</v>
      </c>
      <c r="H7" s="56"/>
      <c r="I7" s="110">
        <v>335.72500000000002</v>
      </c>
      <c r="J7" s="101">
        <v>357.625</v>
      </c>
      <c r="K7" s="101">
        <v>360.32499999999993</v>
      </c>
      <c r="L7" s="101">
        <v>506.125</v>
      </c>
      <c r="M7" s="81">
        <v>1559.8</v>
      </c>
      <c r="N7" s="56"/>
      <c r="O7" s="110">
        <v>340.77499999999998</v>
      </c>
      <c r="P7" s="101">
        <v>369.27500000000003</v>
      </c>
      <c r="Q7" s="101">
        <v>384.67500000000001</v>
      </c>
      <c r="R7" s="101">
        <v>444.77500000000003</v>
      </c>
      <c r="S7" s="81">
        <v>1539.5000000000002</v>
      </c>
      <c r="T7" s="56"/>
      <c r="U7" s="110">
        <v>323.25</v>
      </c>
      <c r="V7" s="101">
        <v>398.05</v>
      </c>
      <c r="W7" s="101">
        <v>427.24999999999989</v>
      </c>
      <c r="X7" s="101">
        <v>424.84999999999997</v>
      </c>
      <c r="Y7" s="81">
        <v>1573.3999999999999</v>
      </c>
      <c r="Z7" s="56"/>
      <c r="AA7" s="110">
        <v>405.8</v>
      </c>
      <c r="AB7" s="101">
        <v>493.90000000000003</v>
      </c>
      <c r="AC7" s="101">
        <v>551.6</v>
      </c>
      <c r="AD7" s="101">
        <v>476.90000000000003</v>
      </c>
      <c r="AE7" s="81">
        <v>1928.2000000000003</v>
      </c>
      <c r="AF7" s="56"/>
      <c r="AG7" s="110">
        <v>422.7</v>
      </c>
      <c r="AH7" s="101">
        <v>475.90000000000003</v>
      </c>
      <c r="AI7" s="101">
        <v>585.5</v>
      </c>
      <c r="AJ7" s="101">
        <v>614.70000000000005</v>
      </c>
      <c r="AK7" s="81">
        <v>2098.8000000000002</v>
      </c>
      <c r="AL7" s="56"/>
      <c r="AM7" s="110">
        <v>519.29999999999995</v>
      </c>
      <c r="AN7" s="101">
        <v>651.79999999999995</v>
      </c>
      <c r="AO7" s="101">
        <v>682.19999999999993</v>
      </c>
      <c r="AP7" s="101">
        <v>656.8</v>
      </c>
      <c r="AQ7" s="81">
        <v>2510.1</v>
      </c>
      <c r="AR7" s="56"/>
      <c r="AS7" s="110">
        <v>576.79999999999995</v>
      </c>
      <c r="AT7" s="101">
        <v>651.1</v>
      </c>
      <c r="AU7" s="101">
        <v>680.5</v>
      </c>
      <c r="AV7" s="101">
        <v>791.1</v>
      </c>
      <c r="AW7" s="81">
        <v>2699.5</v>
      </c>
      <c r="AX7" s="56"/>
      <c r="AY7" s="110">
        <v>634.19999999999993</v>
      </c>
      <c r="AZ7" s="101">
        <v>849.8</v>
      </c>
      <c r="BA7" s="101">
        <v>1031.4000000000001</v>
      </c>
      <c r="BB7" s="101">
        <v>1064.5999999999999</v>
      </c>
      <c r="BC7" s="81">
        <v>3580</v>
      </c>
      <c r="BD7" s="56"/>
      <c r="BE7" s="110">
        <v>785.4</v>
      </c>
      <c r="BF7" s="101">
        <v>1012.2</v>
      </c>
      <c r="BG7" s="101">
        <v>975.6</v>
      </c>
      <c r="BH7" s="101">
        <v>1022.6000000000001</v>
      </c>
      <c r="BI7" s="81">
        <v>3795.8</v>
      </c>
      <c r="BJ7" s="56"/>
      <c r="BK7" s="110">
        <v>930.9</v>
      </c>
      <c r="BL7" s="101">
        <v>1138.1999999999998</v>
      </c>
      <c r="BM7" s="101">
        <v>1056.5999999999999</v>
      </c>
      <c r="BN7" s="101">
        <v>1165.6000000000004</v>
      </c>
      <c r="BO7" s="81">
        <v>4291.3</v>
      </c>
      <c r="BP7" s="56"/>
      <c r="BQ7" s="110">
        <v>1032.7</v>
      </c>
      <c r="BR7" s="101">
        <v>1211.4000000000001</v>
      </c>
      <c r="BS7" s="101">
        <v>1251.9000000000001</v>
      </c>
      <c r="BT7" s="101">
        <v>1417.6999999999994</v>
      </c>
      <c r="BU7" s="81">
        <v>4913.7</v>
      </c>
      <c r="BV7" s="56"/>
      <c r="BW7" s="110">
        <v>1207</v>
      </c>
      <c r="BX7" s="101">
        <v>1277.3000000000002</v>
      </c>
      <c r="BY7" s="101">
        <v>1316.1</v>
      </c>
      <c r="BZ7" s="101">
        <v>1460.7000000000003</v>
      </c>
      <c r="CA7" s="81">
        <v>5261.1</v>
      </c>
      <c r="CB7" s="56"/>
      <c r="CC7" s="110">
        <v>1328.8</v>
      </c>
      <c r="CD7" s="101">
        <v>1324.3</v>
      </c>
      <c r="CE7" s="101">
        <v>1401</v>
      </c>
      <c r="CF7" s="101">
        <v>1520.5000000000002</v>
      </c>
      <c r="CG7" s="81">
        <v>5574.6</v>
      </c>
    </row>
    <row r="8" spans="1:85" s="55" customFormat="1" ht="5.25" customHeight="1">
      <c r="A8" s="109"/>
      <c r="B8" s="101"/>
      <c r="C8" s="110"/>
      <c r="D8" s="101"/>
      <c r="E8" s="101"/>
      <c r="F8" s="101"/>
      <c r="G8" s="81"/>
      <c r="H8" s="56"/>
      <c r="I8" s="110"/>
      <c r="J8" s="101"/>
      <c r="K8" s="101"/>
      <c r="L8" s="101"/>
      <c r="M8" s="81"/>
      <c r="N8" s="56"/>
      <c r="O8" s="110"/>
      <c r="P8" s="101"/>
      <c r="Q8" s="101"/>
      <c r="R8" s="101"/>
      <c r="S8" s="81"/>
      <c r="T8" s="56"/>
      <c r="U8" s="110"/>
      <c r="V8" s="101"/>
      <c r="W8" s="101"/>
      <c r="X8" s="101"/>
      <c r="Y8" s="81"/>
      <c r="Z8" s="56"/>
      <c r="AA8" s="110"/>
      <c r="AB8" s="101"/>
      <c r="AC8" s="101"/>
      <c r="AD8" s="101"/>
      <c r="AE8" s="81"/>
      <c r="AF8" s="56"/>
      <c r="AG8" s="110"/>
      <c r="AH8" s="101"/>
      <c r="AI8" s="101"/>
      <c r="AJ8" s="101"/>
      <c r="AK8" s="81"/>
      <c r="AL8" s="56"/>
      <c r="AM8" s="110"/>
      <c r="AN8" s="101"/>
      <c r="AO8" s="101"/>
      <c r="AP8" s="101"/>
      <c r="AQ8" s="81"/>
      <c r="AR8" s="56"/>
      <c r="AS8" s="110"/>
      <c r="AT8" s="101"/>
      <c r="AU8" s="101"/>
      <c r="AV8" s="101"/>
      <c r="AW8" s="81"/>
      <c r="AX8" s="56"/>
      <c r="AY8" s="110"/>
      <c r="AZ8" s="101"/>
      <c r="BA8" s="101"/>
      <c r="BB8" s="101"/>
      <c r="BC8" s="81"/>
      <c r="BD8" s="56"/>
      <c r="BE8" s="110"/>
      <c r="BF8" s="101"/>
      <c r="BG8" s="101"/>
      <c r="BH8" s="101"/>
      <c r="BI8" s="81"/>
      <c r="BJ8" s="56"/>
      <c r="BK8" s="110"/>
      <c r="BL8" s="101"/>
      <c r="BM8" s="101"/>
      <c r="BN8" s="101"/>
      <c r="BO8" s="81"/>
      <c r="BP8" s="56"/>
      <c r="BQ8" s="110"/>
      <c r="BR8" s="101"/>
      <c r="BS8" s="101"/>
      <c r="BT8" s="101"/>
      <c r="BU8" s="81"/>
      <c r="BV8" s="56"/>
      <c r="BW8" s="110"/>
      <c r="BX8" s="101"/>
      <c r="BY8" s="101"/>
      <c r="BZ8" s="101"/>
      <c r="CA8" s="81"/>
      <c r="CB8" s="56"/>
      <c r="CC8" s="110"/>
      <c r="CD8" s="101"/>
      <c r="CE8" s="101"/>
      <c r="CF8" s="101"/>
      <c r="CG8" s="81"/>
    </row>
    <row r="9" spans="1:85">
      <c r="A9" s="77" t="s">
        <v>15</v>
      </c>
      <c r="B9" s="101"/>
      <c r="C9" s="102">
        <v>245.155</v>
      </c>
      <c r="D9" s="103">
        <v>280.255</v>
      </c>
      <c r="E9" s="103">
        <v>280.05499999999995</v>
      </c>
      <c r="F9" s="103">
        <v>306.85500000000002</v>
      </c>
      <c r="G9" s="104">
        <v>1112.32</v>
      </c>
      <c r="H9" s="1"/>
      <c r="I9" s="102">
        <v>265.97500000000002</v>
      </c>
      <c r="J9" s="103">
        <v>306.27499999999998</v>
      </c>
      <c r="K9" s="103">
        <v>292.57500000000005</v>
      </c>
      <c r="L9" s="103">
        <v>353.27500000000009</v>
      </c>
      <c r="M9" s="104">
        <v>1218.1000000000001</v>
      </c>
      <c r="N9" s="1"/>
      <c r="O9" s="102">
        <v>264.625</v>
      </c>
      <c r="P9" s="103">
        <v>301.82499999999999</v>
      </c>
      <c r="Q9" s="103">
        <v>328.92500000000001</v>
      </c>
      <c r="R9" s="103">
        <v>306.42500000000001</v>
      </c>
      <c r="S9" s="104">
        <v>1201.8</v>
      </c>
      <c r="T9" s="1"/>
      <c r="U9" s="102">
        <v>264.04999999999995</v>
      </c>
      <c r="V9" s="103">
        <v>323.45</v>
      </c>
      <c r="W9" s="103">
        <v>355.55000000000007</v>
      </c>
      <c r="X9" s="103">
        <v>360.75000000000006</v>
      </c>
      <c r="Y9" s="104">
        <v>1303.8</v>
      </c>
      <c r="Z9" s="1"/>
      <c r="AA9" s="102">
        <v>340.2</v>
      </c>
      <c r="AB9" s="103">
        <v>411.00000000000006</v>
      </c>
      <c r="AC9" s="103">
        <v>427.4</v>
      </c>
      <c r="AD9" s="103">
        <v>409.00000000000006</v>
      </c>
      <c r="AE9" s="104">
        <v>1587.6</v>
      </c>
      <c r="AF9" s="1"/>
      <c r="AG9" s="102">
        <v>375.2</v>
      </c>
      <c r="AH9" s="103">
        <v>429.7</v>
      </c>
      <c r="AI9" s="103">
        <v>475.09999999999991</v>
      </c>
      <c r="AJ9" s="103">
        <v>528.29999999999995</v>
      </c>
      <c r="AK9" s="104">
        <v>1808.3</v>
      </c>
      <c r="AL9" s="1"/>
      <c r="AM9" s="102">
        <v>413.6</v>
      </c>
      <c r="AN9" s="103">
        <v>477.40000000000009</v>
      </c>
      <c r="AO9" s="103">
        <v>507.50000000000006</v>
      </c>
      <c r="AP9" s="103">
        <v>512.40000000000009</v>
      </c>
      <c r="AQ9" s="104">
        <v>1910.9</v>
      </c>
      <c r="AR9" s="1"/>
      <c r="AS9" s="102">
        <v>444.99999999999994</v>
      </c>
      <c r="AT9" s="103">
        <v>487.79999999999984</v>
      </c>
      <c r="AU9" s="103">
        <v>507.29999999999995</v>
      </c>
      <c r="AV9" s="103">
        <v>609.4</v>
      </c>
      <c r="AW9" s="104">
        <v>2049.5</v>
      </c>
      <c r="AX9" s="1"/>
      <c r="AY9" s="102">
        <v>472.7000000000001</v>
      </c>
      <c r="AZ9" s="103">
        <v>622.20000000000005</v>
      </c>
      <c r="BA9" s="103">
        <v>717.00000000000011</v>
      </c>
      <c r="BB9" s="103">
        <v>751.00000000000011</v>
      </c>
      <c r="BC9" s="104">
        <v>2562.8999999999996</v>
      </c>
      <c r="BD9" s="1"/>
      <c r="BE9" s="102">
        <v>574.1</v>
      </c>
      <c r="BF9" s="103">
        <v>757.7</v>
      </c>
      <c r="BG9" s="103">
        <v>738.99999999999989</v>
      </c>
      <c r="BH9" s="103">
        <v>743.2999999999995</v>
      </c>
      <c r="BI9" s="104">
        <v>2814.0999999999995</v>
      </c>
      <c r="BJ9" s="1"/>
      <c r="BK9" s="102">
        <v>632.80000000000007</v>
      </c>
      <c r="BL9" s="103">
        <v>833.80000000000007</v>
      </c>
      <c r="BM9" s="103">
        <v>798.80000000000018</v>
      </c>
      <c r="BN9" s="103">
        <v>875.40000000000032</v>
      </c>
      <c r="BO9" s="104">
        <v>3140.8</v>
      </c>
      <c r="BP9" s="96"/>
      <c r="BQ9" s="102">
        <v>721.5</v>
      </c>
      <c r="BR9" s="103">
        <v>916.09999999999991</v>
      </c>
      <c r="BS9" s="103">
        <v>995</v>
      </c>
      <c r="BT9" s="103">
        <v>1049.5000000000023</v>
      </c>
      <c r="BU9" s="104">
        <v>3682.1000000000013</v>
      </c>
      <c r="BV9" s="96"/>
      <c r="BW9" s="102">
        <v>873.5</v>
      </c>
      <c r="BX9" s="103">
        <v>1041.3999999999996</v>
      </c>
      <c r="BY9" s="103">
        <v>1062.0999999999999</v>
      </c>
      <c r="BZ9" s="103">
        <v>1108.1999999999994</v>
      </c>
      <c r="CA9" s="104">
        <v>4085.1999999999989</v>
      </c>
      <c r="CB9" s="96"/>
      <c r="CC9" s="102">
        <v>973.2</v>
      </c>
      <c r="CD9" s="103">
        <v>994.89999999999986</v>
      </c>
      <c r="CE9" s="103">
        <v>1177.1999999999998</v>
      </c>
      <c r="CF9" s="103">
        <v>1221.3999999999994</v>
      </c>
      <c r="CG9" s="104">
        <v>4366.6999999999989</v>
      </c>
    </row>
    <row r="10" spans="1:85">
      <c r="A10" s="54" t="s">
        <v>106</v>
      </c>
      <c r="B10" s="46"/>
      <c r="C10" s="47">
        <v>0.41209446965876617</v>
      </c>
      <c r="D10" s="46">
        <v>0.42328198157378039</v>
      </c>
      <c r="E10" s="46">
        <v>0.43806507117159388</v>
      </c>
      <c r="F10" s="46">
        <v>0.42081047723532639</v>
      </c>
      <c r="G10" s="48">
        <v>0.42366025518948769</v>
      </c>
      <c r="H10" s="1"/>
      <c r="I10" s="47">
        <v>0.44203922220375602</v>
      </c>
      <c r="J10" s="46">
        <v>0.4613270070793794</v>
      </c>
      <c r="K10" s="46">
        <v>0.44811609741154856</v>
      </c>
      <c r="L10" s="46">
        <v>0.41107167791482435</v>
      </c>
      <c r="M10" s="48">
        <v>0.43849670614492964</v>
      </c>
      <c r="N10" s="1"/>
      <c r="O10" s="47">
        <v>0.43710769739015526</v>
      </c>
      <c r="P10" s="46">
        <v>0.4497466845477574</v>
      </c>
      <c r="Q10" s="46">
        <v>0.4609375</v>
      </c>
      <c r="R10" s="46">
        <v>0.40791400425985092</v>
      </c>
      <c r="S10" s="48">
        <v>0.43840513624922478</v>
      </c>
      <c r="T10" s="1"/>
      <c r="U10" s="47">
        <v>0.4495998637834156</v>
      </c>
      <c r="V10" s="46">
        <v>0.44830214830214826</v>
      </c>
      <c r="W10" s="46">
        <v>0.45420286152273898</v>
      </c>
      <c r="X10" s="46">
        <v>0.45920315682281065</v>
      </c>
      <c r="Y10" s="48">
        <v>0.45314889475879327</v>
      </c>
      <c r="Z10" s="1"/>
      <c r="AA10" s="47">
        <v>0.4560321715817694</v>
      </c>
      <c r="AB10" s="46">
        <v>0.45419383357277049</v>
      </c>
      <c r="AC10" s="46">
        <v>0.43656792645556686</v>
      </c>
      <c r="AD10" s="46">
        <v>0.46167739022463034</v>
      </c>
      <c r="AE10" s="48">
        <v>0.45156152227089136</v>
      </c>
      <c r="AF10" s="1"/>
      <c r="AG10" s="47">
        <v>0.47023436520867279</v>
      </c>
      <c r="AH10" s="46">
        <v>0.47449204946996465</v>
      </c>
      <c r="AI10" s="46">
        <v>0.44795398830850458</v>
      </c>
      <c r="AJ10" s="46">
        <v>0.46220472440944876</v>
      </c>
      <c r="AK10" s="48">
        <v>0.46282408947812959</v>
      </c>
      <c r="AL10" s="1"/>
      <c r="AM10" s="47">
        <v>0.44334869760960449</v>
      </c>
      <c r="AN10" s="46">
        <v>0.4227771873893022</v>
      </c>
      <c r="AO10" s="46">
        <v>0.42657812894006897</v>
      </c>
      <c r="AP10" s="46">
        <v>0.43824837495723579</v>
      </c>
      <c r="AQ10" s="48">
        <v>0.4322325265776974</v>
      </c>
      <c r="AR10" s="1"/>
      <c r="AS10" s="47">
        <v>0.43550596985711487</v>
      </c>
      <c r="AT10" s="46">
        <v>0.42830801650715594</v>
      </c>
      <c r="AU10" s="46">
        <v>0.42709210304765111</v>
      </c>
      <c r="AV10" s="46">
        <v>0.43513031060335594</v>
      </c>
      <c r="AW10" s="48">
        <v>0.43156453990313748</v>
      </c>
      <c r="AX10" s="1"/>
      <c r="AY10" s="47">
        <v>0.4270485138675581</v>
      </c>
      <c r="AZ10" s="46">
        <v>0.42269021739130436</v>
      </c>
      <c r="BA10" s="46">
        <v>0.41008922443376805</v>
      </c>
      <c r="BB10" s="46">
        <v>0.413637365058383</v>
      </c>
      <c r="BC10" s="48">
        <v>0.41721336827882594</v>
      </c>
      <c r="BD10" s="1"/>
      <c r="BE10" s="47">
        <v>0.42228760573740348</v>
      </c>
      <c r="BF10" s="46">
        <v>0.42810328267133735</v>
      </c>
      <c r="BG10" s="46">
        <v>0.43100431587542282</v>
      </c>
      <c r="BH10" s="46">
        <v>0.4209185118070104</v>
      </c>
      <c r="BI10" s="48">
        <v>0.42574017761236926</v>
      </c>
      <c r="BJ10" s="1"/>
      <c r="BK10" s="47">
        <v>0.404681204834687</v>
      </c>
      <c r="BL10" s="46">
        <v>0.42281947261663289</v>
      </c>
      <c r="BM10" s="46">
        <v>0.43052711005713062</v>
      </c>
      <c r="BN10" s="46">
        <v>0.42890739833414993</v>
      </c>
      <c r="BO10" s="48">
        <v>0.42259926534895925</v>
      </c>
      <c r="BP10" s="96"/>
      <c r="BQ10" s="47">
        <v>0.41129859765135102</v>
      </c>
      <c r="BR10" s="46">
        <v>0.43059929494712101</v>
      </c>
      <c r="BS10" s="46">
        <v>0.44283234678890915</v>
      </c>
      <c r="BT10" s="46">
        <v>0.42538099870298379</v>
      </c>
      <c r="BU10" s="48">
        <v>0.42836036203727412</v>
      </c>
      <c r="BV10" s="96"/>
      <c r="BW10" s="47">
        <v>0.41985099735640469</v>
      </c>
      <c r="BX10" s="71">
        <v>0.44913097856557543</v>
      </c>
      <c r="BY10" s="71">
        <v>0.4465982675973425</v>
      </c>
      <c r="BZ10" s="71">
        <v>0.43139086768655827</v>
      </c>
      <c r="CA10" s="48">
        <v>0.43709275328204739</v>
      </c>
      <c r="CB10" s="96"/>
      <c r="CC10" s="47">
        <v>0.42276281494352741</v>
      </c>
      <c r="CD10" s="71">
        <v>0.42898413245946876</v>
      </c>
      <c r="CE10" s="71">
        <v>0.45659762625087269</v>
      </c>
      <c r="CF10" s="71">
        <v>0.44545752945038097</v>
      </c>
      <c r="CG10" s="48">
        <v>0.43924838803778171</v>
      </c>
    </row>
    <row r="11" spans="1:85" ht="5.25" customHeight="1">
      <c r="A11" s="52"/>
      <c r="B11" s="105"/>
      <c r="C11" s="106"/>
      <c r="D11" s="105"/>
      <c r="E11" s="105"/>
      <c r="F11" s="105"/>
      <c r="G11" s="107"/>
      <c r="H11" s="1"/>
      <c r="I11" s="106"/>
      <c r="J11" s="105"/>
      <c r="K11" s="105"/>
      <c r="L11" s="105"/>
      <c r="M11" s="107"/>
      <c r="N11" s="1"/>
      <c r="O11" s="106"/>
      <c r="P11" s="105"/>
      <c r="Q11" s="105"/>
      <c r="R11" s="105"/>
      <c r="S11" s="107"/>
      <c r="T11" s="1"/>
      <c r="U11" s="106"/>
      <c r="V11" s="105"/>
      <c r="W11" s="105"/>
      <c r="X11" s="105"/>
      <c r="Y11" s="107"/>
      <c r="Z11" s="1"/>
      <c r="AA11" s="106"/>
      <c r="AB11" s="105"/>
      <c r="AC11" s="105"/>
      <c r="AD11" s="105"/>
      <c r="AE11" s="107"/>
      <c r="AF11" s="1"/>
      <c r="AG11" s="106"/>
      <c r="AH11" s="105"/>
      <c r="AI11" s="105"/>
      <c r="AJ11" s="105"/>
      <c r="AK11" s="107"/>
      <c r="AL11" s="1"/>
      <c r="AM11" s="106"/>
      <c r="AN11" s="105"/>
      <c r="AO11" s="105"/>
      <c r="AP11" s="105"/>
      <c r="AQ11" s="107"/>
      <c r="AR11" s="1"/>
      <c r="AS11" s="106"/>
      <c r="AT11" s="105"/>
      <c r="AU11" s="105"/>
      <c r="AV11" s="105"/>
      <c r="AW11" s="107"/>
      <c r="AX11" s="1"/>
      <c r="AY11" s="106"/>
      <c r="AZ11" s="105"/>
      <c r="BA11" s="105"/>
      <c r="BB11" s="105"/>
      <c r="BC11" s="107"/>
      <c r="BD11" s="1"/>
      <c r="BE11" s="106"/>
      <c r="BF11" s="105"/>
      <c r="BG11" s="105"/>
      <c r="BH11" s="105"/>
      <c r="BI11" s="107"/>
      <c r="BJ11" s="1"/>
      <c r="BK11" s="106"/>
      <c r="BL11" s="105"/>
      <c r="BM11" s="105"/>
      <c r="BN11" s="105"/>
      <c r="BO11" s="108"/>
      <c r="BP11" s="96"/>
      <c r="BQ11" s="106"/>
      <c r="BR11" s="105"/>
      <c r="BS11" s="105"/>
      <c r="BT11" s="105"/>
      <c r="BU11" s="108"/>
      <c r="BV11" s="96"/>
      <c r="BW11" s="106"/>
      <c r="BX11" s="105"/>
      <c r="BY11" s="105"/>
      <c r="BZ11" s="105"/>
      <c r="CA11" s="108"/>
      <c r="CB11" s="96"/>
      <c r="CC11" s="106"/>
      <c r="CD11" s="105"/>
      <c r="CE11" s="105"/>
      <c r="CF11" s="105"/>
      <c r="CG11" s="108"/>
    </row>
    <row r="12" spans="1:85" s="55" customFormat="1">
      <c r="A12" s="109" t="s">
        <v>21</v>
      </c>
      <c r="B12" s="101"/>
      <c r="C12" s="110">
        <v>174.4</v>
      </c>
      <c r="D12" s="101">
        <v>182</v>
      </c>
      <c r="E12" s="101">
        <v>162.60000000000002</v>
      </c>
      <c r="F12" s="101">
        <v>188.60000000000002</v>
      </c>
      <c r="G12" s="81">
        <v>707.6</v>
      </c>
      <c r="H12" s="56"/>
      <c r="I12" s="110">
        <v>190.20000000000002</v>
      </c>
      <c r="J12" s="101">
        <v>197.1</v>
      </c>
      <c r="K12" s="101">
        <v>195.6</v>
      </c>
      <c r="L12" s="101">
        <v>206.2</v>
      </c>
      <c r="M12" s="81">
        <v>789.1</v>
      </c>
      <c r="N12" s="56"/>
      <c r="O12" s="110">
        <v>188</v>
      </c>
      <c r="P12" s="101">
        <v>201.2</v>
      </c>
      <c r="Q12" s="101">
        <v>169.20000000000002</v>
      </c>
      <c r="R12" s="101">
        <v>163.89999999999998</v>
      </c>
      <c r="S12" s="81">
        <v>722.3</v>
      </c>
      <c r="T12" s="56"/>
      <c r="U12" s="110">
        <v>182</v>
      </c>
      <c r="V12" s="101">
        <v>199.9</v>
      </c>
      <c r="W12" s="101">
        <v>197</v>
      </c>
      <c r="X12" s="101">
        <v>238.70000000000002</v>
      </c>
      <c r="Y12" s="81">
        <v>817.6</v>
      </c>
      <c r="Z12" s="56"/>
      <c r="AA12" s="110">
        <v>222.1</v>
      </c>
      <c r="AB12" s="101">
        <v>231.7</v>
      </c>
      <c r="AC12" s="101">
        <v>225.60000000000002</v>
      </c>
      <c r="AD12" s="101">
        <v>243.70000000000002</v>
      </c>
      <c r="AE12" s="81">
        <v>923.1</v>
      </c>
      <c r="AF12" s="56"/>
      <c r="AG12" s="110">
        <v>241.00000000000003</v>
      </c>
      <c r="AH12" s="101">
        <v>251.60000000000002</v>
      </c>
      <c r="AI12" s="101">
        <v>282.10000000000002</v>
      </c>
      <c r="AJ12" s="101">
        <v>296.29999999999995</v>
      </c>
      <c r="AK12" s="81">
        <v>1071</v>
      </c>
      <c r="AL12" s="56"/>
      <c r="AM12" s="110">
        <v>298.89999999999998</v>
      </c>
      <c r="AN12" s="101">
        <v>305.7</v>
      </c>
      <c r="AO12" s="101">
        <v>291.89999999999998</v>
      </c>
      <c r="AP12" s="101">
        <v>313.39999999999998</v>
      </c>
      <c r="AQ12" s="81">
        <v>1209.9000000000001</v>
      </c>
      <c r="AR12" s="56"/>
      <c r="AS12" s="110">
        <v>338</v>
      </c>
      <c r="AT12" s="101">
        <v>329.49999999999994</v>
      </c>
      <c r="AU12" s="101">
        <v>301.60000000000002</v>
      </c>
      <c r="AV12" s="101">
        <v>343.9</v>
      </c>
      <c r="AW12" s="81">
        <v>1312.9999999999998</v>
      </c>
      <c r="AX12" s="56"/>
      <c r="AY12" s="110">
        <v>368.3</v>
      </c>
      <c r="AZ12" s="101">
        <v>382.2</v>
      </c>
      <c r="BA12" s="101">
        <v>393.09999999999997</v>
      </c>
      <c r="BB12" s="101">
        <v>404.30000000000007</v>
      </c>
      <c r="BC12" s="81">
        <v>1547.9</v>
      </c>
      <c r="BD12" s="56"/>
      <c r="BE12" s="110">
        <v>420.9</v>
      </c>
      <c r="BF12" s="101">
        <v>439.2</v>
      </c>
      <c r="BG12" s="101">
        <v>407.79999999999995</v>
      </c>
      <c r="BH12" s="101">
        <v>426.99999999999989</v>
      </c>
      <c r="BI12" s="81">
        <v>1694.8999999999999</v>
      </c>
      <c r="BJ12" s="56"/>
      <c r="BK12" s="110">
        <v>474.8</v>
      </c>
      <c r="BL12" s="101">
        <v>528.20000000000005</v>
      </c>
      <c r="BM12" s="101">
        <v>495.59999999999997</v>
      </c>
      <c r="BN12" s="101">
        <v>573.89999999999986</v>
      </c>
      <c r="BO12" s="81">
        <v>2072.5</v>
      </c>
      <c r="BP12" s="56"/>
      <c r="BQ12" s="110">
        <v>579.70000000000005</v>
      </c>
      <c r="BR12" s="101">
        <v>609.30000000000007</v>
      </c>
      <c r="BS12" s="101">
        <v>587</v>
      </c>
      <c r="BT12" s="101">
        <v>653.59999999999991</v>
      </c>
      <c r="BU12" s="81">
        <v>2429.6</v>
      </c>
      <c r="BV12" s="56"/>
      <c r="BW12" s="110">
        <v>666.9</v>
      </c>
      <c r="BX12" s="101">
        <v>689.30000000000007</v>
      </c>
      <c r="BY12" s="101">
        <v>647.39999999999975</v>
      </c>
      <c r="BZ12" s="101">
        <v>700.20000000000039</v>
      </c>
      <c r="CA12" s="81">
        <v>2703.8</v>
      </c>
      <c r="CB12" s="56"/>
      <c r="CC12" s="110">
        <v>744.9</v>
      </c>
      <c r="CD12" s="101">
        <v>707.2</v>
      </c>
      <c r="CE12" s="101">
        <v>676.2</v>
      </c>
      <c r="CF12" s="101">
        <v>716.20000000000016</v>
      </c>
      <c r="CG12" s="81">
        <v>2844.5</v>
      </c>
    </row>
    <row r="13" spans="1:85" ht="5.25" customHeight="1">
      <c r="A13" s="53"/>
      <c r="B13" s="105"/>
      <c r="C13" s="106"/>
      <c r="D13" s="105"/>
      <c r="E13" s="105"/>
      <c r="F13" s="105"/>
      <c r="G13" s="107"/>
      <c r="H13" s="1"/>
      <c r="I13" s="106"/>
      <c r="J13" s="105"/>
      <c r="K13" s="105"/>
      <c r="L13" s="105"/>
      <c r="M13" s="107"/>
      <c r="N13" s="1"/>
      <c r="O13" s="106"/>
      <c r="P13" s="105"/>
      <c r="Q13" s="105"/>
      <c r="R13" s="105"/>
      <c r="S13" s="107"/>
      <c r="T13" s="1"/>
      <c r="U13" s="106"/>
      <c r="V13" s="105"/>
      <c r="W13" s="105"/>
      <c r="X13" s="105"/>
      <c r="Y13" s="107"/>
      <c r="Z13" s="1"/>
      <c r="AA13" s="106"/>
      <c r="AB13" s="105"/>
      <c r="AC13" s="105"/>
      <c r="AD13" s="105"/>
      <c r="AE13" s="107"/>
      <c r="AF13" s="1"/>
      <c r="AG13" s="106"/>
      <c r="AH13" s="105"/>
      <c r="AI13" s="105"/>
      <c r="AJ13" s="105"/>
      <c r="AK13" s="107"/>
      <c r="AL13" s="1"/>
      <c r="AM13" s="106"/>
      <c r="AN13" s="105"/>
      <c r="AO13" s="105"/>
      <c r="AP13" s="105"/>
      <c r="AQ13" s="107"/>
      <c r="AR13" s="1"/>
      <c r="AS13" s="106"/>
      <c r="AT13" s="105"/>
      <c r="AU13" s="105"/>
      <c r="AV13" s="105"/>
      <c r="AW13" s="107"/>
      <c r="AX13" s="1"/>
      <c r="AY13" s="106"/>
      <c r="AZ13" s="105"/>
      <c r="BA13" s="105"/>
      <c r="BB13" s="105"/>
      <c r="BC13" s="107"/>
      <c r="BD13" s="1"/>
      <c r="BE13" s="106"/>
      <c r="BF13" s="105"/>
      <c r="BG13" s="105"/>
      <c r="BH13" s="105"/>
      <c r="BI13" s="107"/>
      <c r="BJ13" s="1"/>
      <c r="BK13" s="106"/>
      <c r="BL13" s="105"/>
      <c r="BM13" s="105"/>
      <c r="BN13" s="105"/>
      <c r="BO13" s="108"/>
      <c r="BP13" s="96"/>
      <c r="BQ13" s="106"/>
      <c r="BR13" s="105"/>
      <c r="BS13" s="105"/>
      <c r="BT13" s="105"/>
      <c r="BU13" s="108"/>
      <c r="BV13" s="96"/>
      <c r="BW13" s="106"/>
      <c r="BX13" s="105"/>
      <c r="BY13" s="105"/>
      <c r="BZ13" s="105"/>
      <c r="CA13" s="108"/>
      <c r="CB13" s="96"/>
      <c r="CC13" s="106"/>
      <c r="CD13" s="105"/>
      <c r="CE13" s="105"/>
      <c r="CF13" s="105"/>
      <c r="CG13" s="108"/>
    </row>
    <row r="14" spans="1:85" s="55" customFormat="1">
      <c r="A14" s="100" t="s">
        <v>86</v>
      </c>
      <c r="B14" s="101"/>
      <c r="C14" s="102">
        <v>70.75500000000001</v>
      </c>
      <c r="D14" s="103">
        <v>98.254999999999995</v>
      </c>
      <c r="E14" s="103">
        <v>117.45499999999994</v>
      </c>
      <c r="F14" s="103">
        <v>118.255</v>
      </c>
      <c r="G14" s="104">
        <v>404.71999999999991</v>
      </c>
      <c r="H14" s="56"/>
      <c r="I14" s="102">
        <v>75.77500000000002</v>
      </c>
      <c r="J14" s="103">
        <v>109.17499999999998</v>
      </c>
      <c r="K14" s="103">
        <v>96.975000000000037</v>
      </c>
      <c r="L14" s="103">
        <v>147.0750000000001</v>
      </c>
      <c r="M14" s="104">
        <v>429.00000000000011</v>
      </c>
      <c r="N14" s="56"/>
      <c r="O14" s="102">
        <v>76.624999999999986</v>
      </c>
      <c r="P14" s="103">
        <v>100.625</v>
      </c>
      <c r="Q14" s="103">
        <v>159.72499999999999</v>
      </c>
      <c r="R14" s="103">
        <v>142.52500000000003</v>
      </c>
      <c r="S14" s="104">
        <v>479.49999999999994</v>
      </c>
      <c r="T14" s="56"/>
      <c r="U14" s="102">
        <v>82.049999999999969</v>
      </c>
      <c r="V14" s="103">
        <v>123.55</v>
      </c>
      <c r="W14" s="103">
        <v>158.55000000000007</v>
      </c>
      <c r="X14" s="103">
        <v>122.05000000000004</v>
      </c>
      <c r="Y14" s="104">
        <v>486.19999999999993</v>
      </c>
      <c r="Z14" s="56"/>
      <c r="AA14" s="102">
        <v>118.1</v>
      </c>
      <c r="AB14" s="103">
        <v>179.30000000000007</v>
      </c>
      <c r="AC14" s="103">
        <v>201.79999999999995</v>
      </c>
      <c r="AD14" s="103">
        <v>165.30000000000004</v>
      </c>
      <c r="AE14" s="104">
        <v>664.49999999999989</v>
      </c>
      <c r="AF14" s="56"/>
      <c r="AG14" s="102">
        <v>134.19999999999996</v>
      </c>
      <c r="AH14" s="103">
        <v>178.09999999999997</v>
      </c>
      <c r="AI14" s="103">
        <v>192.99999999999989</v>
      </c>
      <c r="AJ14" s="103">
        <v>231.99999999999997</v>
      </c>
      <c r="AK14" s="104">
        <v>737.3</v>
      </c>
      <c r="AL14" s="56"/>
      <c r="AM14" s="102">
        <v>114.70000000000002</v>
      </c>
      <c r="AN14" s="103">
        <v>171.7000000000001</v>
      </c>
      <c r="AO14" s="103">
        <v>215.60000000000008</v>
      </c>
      <c r="AP14" s="103">
        <v>199.00000000000009</v>
      </c>
      <c r="AQ14" s="104">
        <v>701</v>
      </c>
      <c r="AR14" s="101"/>
      <c r="AS14" s="102">
        <v>106.99999999999997</v>
      </c>
      <c r="AT14" s="103">
        <v>158.2999999999999</v>
      </c>
      <c r="AU14" s="103">
        <v>205.6999999999999</v>
      </c>
      <c r="AV14" s="103">
        <v>265.5</v>
      </c>
      <c r="AW14" s="104">
        <v>736.50000000000023</v>
      </c>
      <c r="AX14" s="101"/>
      <c r="AY14" s="102">
        <v>104.40000000000008</v>
      </c>
      <c r="AZ14" s="103">
        <v>240.00000000000003</v>
      </c>
      <c r="BA14" s="103">
        <v>323.90000000000015</v>
      </c>
      <c r="BB14" s="103">
        <v>346.70000000000005</v>
      </c>
      <c r="BC14" s="104">
        <v>1014.9999999999995</v>
      </c>
      <c r="BD14" s="101"/>
      <c r="BE14" s="102">
        <v>153.20000000000005</v>
      </c>
      <c r="BF14" s="103">
        <v>318.50000000000006</v>
      </c>
      <c r="BG14" s="103">
        <v>331.19999999999993</v>
      </c>
      <c r="BH14" s="103">
        <v>316.29999999999961</v>
      </c>
      <c r="BI14" s="104">
        <v>1119.1999999999996</v>
      </c>
      <c r="BJ14" s="101"/>
      <c r="BK14" s="102">
        <v>158.00000000000009</v>
      </c>
      <c r="BL14" s="103">
        <v>305.60000000000008</v>
      </c>
      <c r="BM14" s="103">
        <v>303.20000000000022</v>
      </c>
      <c r="BN14" s="103">
        <v>301.50000000000045</v>
      </c>
      <c r="BO14" s="104">
        <v>1068.3000000000002</v>
      </c>
      <c r="BP14" s="56"/>
      <c r="BQ14" s="102">
        <v>141.79999999999995</v>
      </c>
      <c r="BR14" s="103">
        <v>306.7999999999999</v>
      </c>
      <c r="BS14" s="103">
        <v>408</v>
      </c>
      <c r="BT14" s="103">
        <v>395.90000000000231</v>
      </c>
      <c r="BU14" s="104">
        <v>1252.5000000000014</v>
      </c>
      <c r="BV14" s="56"/>
      <c r="BW14" s="102">
        <v>206.60000000000002</v>
      </c>
      <c r="BX14" s="103">
        <v>352.09999999999957</v>
      </c>
      <c r="BY14" s="103">
        <v>414.70000000000016</v>
      </c>
      <c r="BZ14" s="103">
        <v>407.99999999999898</v>
      </c>
      <c r="CA14" s="104">
        <v>1381.3999999999987</v>
      </c>
      <c r="CB14" s="56"/>
      <c r="CC14" s="102">
        <v>228.30000000000007</v>
      </c>
      <c r="CD14" s="103">
        <v>287.69999999999982</v>
      </c>
      <c r="CE14" s="103">
        <v>500.99999999999977</v>
      </c>
      <c r="CF14" s="103">
        <v>505.19999999999925</v>
      </c>
      <c r="CG14" s="104">
        <v>1522.1999999999989</v>
      </c>
    </row>
    <row r="15" spans="1:85">
      <c r="A15" s="54" t="s">
        <v>106</v>
      </c>
      <c r="B15" s="46"/>
      <c r="C15" s="47">
        <v>0.11893595562279377</v>
      </c>
      <c r="D15" s="46">
        <v>0.14839903337864369</v>
      </c>
      <c r="E15" s="46">
        <v>0.18372438604723909</v>
      </c>
      <c r="F15" s="46">
        <v>0.16217087218869994</v>
      </c>
      <c r="G15" s="48">
        <v>0.15414968577413823</v>
      </c>
      <c r="H15" s="1"/>
      <c r="I15" s="47">
        <v>0.12593485125477816</v>
      </c>
      <c r="J15" s="46">
        <v>0.16444494652809155</v>
      </c>
      <c r="K15" s="46">
        <v>0.14852963700413546</v>
      </c>
      <c r="L15" s="46">
        <v>0.17113683965557375</v>
      </c>
      <c r="M15" s="48">
        <v>0.15443320493898272</v>
      </c>
      <c r="N15" s="1"/>
      <c r="O15" s="47">
        <v>0.12656921043937891</v>
      </c>
      <c r="P15" s="46">
        <v>0.14994039636417822</v>
      </c>
      <c r="Q15" s="46">
        <v>0.22382987668161433</v>
      </c>
      <c r="R15" s="46">
        <v>0.18972976570820024</v>
      </c>
      <c r="S15" s="48">
        <v>0.1749170101776529</v>
      </c>
      <c r="T15" s="1"/>
      <c r="U15" s="47">
        <v>0.13970713434360629</v>
      </c>
      <c r="V15" s="46">
        <v>0.17124047124047123</v>
      </c>
      <c r="W15" s="46">
        <v>0.20254215636177833</v>
      </c>
      <c r="X15" s="46">
        <v>0.15535896130346236</v>
      </c>
      <c r="Y15" s="48">
        <v>0.16898373418601417</v>
      </c>
      <c r="Z15" s="1"/>
      <c r="AA15" s="47">
        <v>0.15831099195710455</v>
      </c>
      <c r="AB15" s="46">
        <v>0.19814344126422814</v>
      </c>
      <c r="AC15" s="46">
        <v>0.2061287027579162</v>
      </c>
      <c r="AD15" s="46">
        <v>0.18658990856755844</v>
      </c>
      <c r="AE15" s="48">
        <v>0.18900392513794864</v>
      </c>
      <c r="AF15" s="1"/>
      <c r="AG15" s="47">
        <v>0.1681915026945732</v>
      </c>
      <c r="AH15" s="46">
        <v>0.19666519434628971</v>
      </c>
      <c r="AI15" s="46">
        <v>0.18197246841410514</v>
      </c>
      <c r="AJ15" s="46">
        <v>0.20297462817147854</v>
      </c>
      <c r="AK15" s="48">
        <v>0.18870773719638606</v>
      </c>
      <c r="AL15" s="1"/>
      <c r="AM15" s="47">
        <v>0.1229499410440562</v>
      </c>
      <c r="AN15" s="46">
        <v>0.15205455189514708</v>
      </c>
      <c r="AO15" s="46">
        <v>0.18122215684626383</v>
      </c>
      <c r="AP15" s="46">
        <v>0.17020184741703737</v>
      </c>
      <c r="AQ15" s="48">
        <v>0.15856141144537436</v>
      </c>
      <c r="AR15" s="1"/>
      <c r="AS15" s="47">
        <v>0.10471716578586805</v>
      </c>
      <c r="AT15" s="46">
        <v>0.13899376591447882</v>
      </c>
      <c r="AU15" s="46">
        <v>0.17317730257619121</v>
      </c>
      <c r="AV15" s="46">
        <v>0.18957515173152445</v>
      </c>
      <c r="AW15" s="48">
        <v>0.15508528111181305</v>
      </c>
      <c r="AX15" s="1"/>
      <c r="AY15" s="47">
        <v>9.4317463185473002E-2</v>
      </c>
      <c r="AZ15" s="46">
        <v>0.1630434782608696</v>
      </c>
      <c r="BA15" s="46">
        <v>0.18525509036833684</v>
      </c>
      <c r="BB15" s="46">
        <v>0.19095615774399652</v>
      </c>
      <c r="BC15" s="48">
        <v>0.16523140536228811</v>
      </c>
      <c r="BD15" s="1"/>
      <c r="BE15" s="47">
        <v>0.11268848841485844</v>
      </c>
      <c r="BF15" s="46">
        <v>0.17995366969885307</v>
      </c>
      <c r="BG15" s="46">
        <v>0.19316458649247634</v>
      </c>
      <c r="BH15" s="46">
        <v>0.17911546520187988</v>
      </c>
      <c r="BI15" s="48">
        <v>0.16932177491338743</v>
      </c>
      <c r="BJ15" s="1"/>
      <c r="BK15" s="47">
        <v>0.10104239943723226</v>
      </c>
      <c r="BL15" s="46">
        <v>0.15496957403651121</v>
      </c>
      <c r="BM15" s="46">
        <v>0.16341489705723844</v>
      </c>
      <c r="BN15" s="46">
        <v>0.147721705046546</v>
      </c>
      <c r="BO15" s="48">
        <v>0.14374133824894716</v>
      </c>
      <c r="BP15" s="96"/>
      <c r="BQ15" s="47">
        <v>8.0834568464257184E-2</v>
      </c>
      <c r="BR15" s="46">
        <v>0.14420681551116329</v>
      </c>
      <c r="BS15" s="46">
        <v>0.18158351506520093</v>
      </c>
      <c r="BT15" s="46">
        <v>0.1604653047989632</v>
      </c>
      <c r="BU15" s="48">
        <v>0.14571069592126401</v>
      </c>
      <c r="BV15" s="96"/>
      <c r="BW15" s="47">
        <v>9.9303052150925275E-2</v>
      </c>
      <c r="BX15" s="71">
        <v>0.15185233104756959</v>
      </c>
      <c r="BY15" s="71">
        <v>0.17437557816836272</v>
      </c>
      <c r="BZ15" s="71">
        <v>0.15882284246175368</v>
      </c>
      <c r="CA15" s="48">
        <v>0.14780180392240766</v>
      </c>
      <c r="CB15" s="96"/>
      <c r="CC15" s="47">
        <v>9.9174630755864496E-2</v>
      </c>
      <c r="CD15" s="71">
        <v>0.12405139703345974</v>
      </c>
      <c r="CE15" s="71">
        <v>0.19432161973469855</v>
      </c>
      <c r="CF15" s="71">
        <v>0.18425179619971527</v>
      </c>
      <c r="CG15" s="48">
        <v>0.15311880739943459</v>
      </c>
    </row>
    <row r="16" spans="1:85" ht="5.25" customHeight="1">
      <c r="A16" s="53"/>
      <c r="B16" s="105"/>
      <c r="C16" s="106"/>
      <c r="D16" s="105"/>
      <c r="E16" s="105"/>
      <c r="F16" s="105"/>
      <c r="G16" s="108"/>
      <c r="H16" s="1"/>
      <c r="I16" s="106"/>
      <c r="J16" s="105"/>
      <c r="K16" s="105"/>
      <c r="L16" s="105"/>
      <c r="M16" s="108"/>
      <c r="N16" s="1"/>
      <c r="O16" s="106"/>
      <c r="P16" s="105"/>
      <c r="Q16" s="105"/>
      <c r="R16" s="105"/>
      <c r="S16" s="108"/>
      <c r="T16" s="1"/>
      <c r="U16" s="106"/>
      <c r="V16" s="105"/>
      <c r="W16" s="105"/>
      <c r="X16" s="105"/>
      <c r="Y16" s="108"/>
      <c r="Z16" s="1"/>
      <c r="AA16" s="106"/>
      <c r="AB16" s="105"/>
      <c r="AC16" s="105"/>
      <c r="AD16" s="105"/>
      <c r="AE16" s="108"/>
      <c r="AF16" s="1"/>
      <c r="AG16" s="106"/>
      <c r="AH16" s="105"/>
      <c r="AI16" s="105"/>
      <c r="AJ16" s="105"/>
      <c r="AK16" s="108"/>
      <c r="AL16" s="1"/>
      <c r="AM16" s="106"/>
      <c r="AN16" s="105"/>
      <c r="AO16" s="105"/>
      <c r="AP16" s="105"/>
      <c r="AQ16" s="108"/>
      <c r="AR16" s="1"/>
      <c r="AS16" s="106"/>
      <c r="AT16" s="105"/>
      <c r="AU16" s="105"/>
      <c r="AV16" s="105"/>
      <c r="AW16" s="108"/>
      <c r="AX16" s="1"/>
      <c r="AY16" s="106"/>
      <c r="AZ16" s="105"/>
      <c r="BA16" s="105"/>
      <c r="BB16" s="105"/>
      <c r="BC16" s="108"/>
      <c r="BD16" s="1"/>
      <c r="BE16" s="106"/>
      <c r="BF16" s="105"/>
      <c r="BG16" s="105"/>
      <c r="BH16" s="105"/>
      <c r="BI16" s="108"/>
      <c r="BJ16" s="1"/>
      <c r="BK16" s="106"/>
      <c r="BL16" s="105"/>
      <c r="BM16" s="105"/>
      <c r="BN16" s="105"/>
      <c r="BO16" s="108"/>
      <c r="BP16" s="96"/>
      <c r="BQ16" s="106"/>
      <c r="BR16" s="105"/>
      <c r="BS16" s="105"/>
      <c r="BT16" s="105"/>
      <c r="BU16" s="108"/>
      <c r="BV16" s="96"/>
      <c r="BW16" s="106"/>
      <c r="BX16" s="105"/>
      <c r="BY16" s="105"/>
      <c r="BZ16" s="105"/>
      <c r="CA16" s="108"/>
      <c r="CB16" s="96"/>
      <c r="CC16" s="106"/>
      <c r="CD16" s="105"/>
      <c r="CE16" s="105"/>
      <c r="CF16" s="105"/>
      <c r="CG16" s="108"/>
    </row>
    <row r="17" spans="1:85" s="55" customFormat="1">
      <c r="A17" s="109" t="s">
        <v>34</v>
      </c>
      <c r="B17" s="101"/>
      <c r="C17" s="110">
        <v>8.1549999999999994</v>
      </c>
      <c r="D17" s="101">
        <v>8.1549999999999994</v>
      </c>
      <c r="E17" s="101">
        <v>8.1549999999999994</v>
      </c>
      <c r="F17" s="101">
        <v>8.1549999999999994</v>
      </c>
      <c r="G17" s="81">
        <v>32.619999999999997</v>
      </c>
      <c r="H17" s="56"/>
      <c r="I17" s="110">
        <v>6.5750000000000002</v>
      </c>
      <c r="J17" s="101">
        <v>6.5750000000000002</v>
      </c>
      <c r="K17" s="101">
        <v>6.5750000000000002</v>
      </c>
      <c r="L17" s="101">
        <v>15.074999999999999</v>
      </c>
      <c r="M17" s="81">
        <v>34.799999999999997</v>
      </c>
      <c r="N17" s="56"/>
      <c r="O17" s="110">
        <v>6.125</v>
      </c>
      <c r="P17" s="101">
        <v>6.125</v>
      </c>
      <c r="Q17" s="101">
        <v>6.125</v>
      </c>
      <c r="R17" s="101">
        <v>41.625</v>
      </c>
      <c r="S17" s="81">
        <v>60</v>
      </c>
      <c r="T17" s="56"/>
      <c r="U17" s="110">
        <v>6.55</v>
      </c>
      <c r="V17" s="101">
        <v>6.55</v>
      </c>
      <c r="W17" s="101">
        <v>6.55</v>
      </c>
      <c r="X17" s="101">
        <v>6.55</v>
      </c>
      <c r="Y17" s="81">
        <v>26.2</v>
      </c>
      <c r="Z17" s="56"/>
      <c r="AA17" s="110">
        <v>8</v>
      </c>
      <c r="AB17" s="101">
        <v>9</v>
      </c>
      <c r="AC17" s="101">
        <v>9.9</v>
      </c>
      <c r="AD17" s="101">
        <v>17.399999999999999</v>
      </c>
      <c r="AE17" s="81">
        <v>44.3</v>
      </c>
      <c r="AF17" s="56"/>
      <c r="AG17" s="110">
        <v>13.1</v>
      </c>
      <c r="AH17" s="101">
        <v>13.3</v>
      </c>
      <c r="AI17" s="101">
        <v>23.2</v>
      </c>
      <c r="AJ17" s="101">
        <v>27.8</v>
      </c>
      <c r="AK17" s="81">
        <v>77.399999999999991</v>
      </c>
      <c r="AL17" s="56"/>
      <c r="AM17" s="110">
        <v>25.7</v>
      </c>
      <c r="AN17" s="101">
        <v>25.9</v>
      </c>
      <c r="AO17" s="101">
        <v>27.5</v>
      </c>
      <c r="AP17" s="101">
        <v>24.599999999999998</v>
      </c>
      <c r="AQ17" s="81">
        <v>103.69999999999999</v>
      </c>
      <c r="AR17" s="56"/>
      <c r="AS17" s="110">
        <v>27.9</v>
      </c>
      <c r="AT17" s="101">
        <v>27.2</v>
      </c>
      <c r="AU17" s="101">
        <v>28.3</v>
      </c>
      <c r="AV17" s="101">
        <v>25.6</v>
      </c>
      <c r="AW17" s="81">
        <v>109</v>
      </c>
      <c r="AX17" s="56"/>
      <c r="AY17" s="110">
        <v>28.8</v>
      </c>
      <c r="AZ17" s="101">
        <v>29.1</v>
      </c>
      <c r="BA17" s="101">
        <v>34.1</v>
      </c>
      <c r="BB17" s="101">
        <v>32.299999999999983</v>
      </c>
      <c r="BC17" s="81">
        <v>124.3</v>
      </c>
      <c r="BD17" s="56"/>
      <c r="BE17" s="110">
        <v>31.8</v>
      </c>
      <c r="BF17" s="101">
        <v>33.4</v>
      </c>
      <c r="BG17" s="101">
        <v>37.1</v>
      </c>
      <c r="BH17" s="101">
        <v>29.199999999999989</v>
      </c>
      <c r="BI17" s="81">
        <v>131.5</v>
      </c>
      <c r="BJ17" s="56"/>
      <c r="BK17" s="110">
        <v>34.1</v>
      </c>
      <c r="BL17" s="101">
        <v>37.6</v>
      </c>
      <c r="BM17" s="101">
        <v>38.5</v>
      </c>
      <c r="BN17" s="101">
        <v>42.600000000000016</v>
      </c>
      <c r="BO17" s="81">
        <v>152.80000000000001</v>
      </c>
      <c r="BP17" s="56"/>
      <c r="BQ17" s="110">
        <v>40.4</v>
      </c>
      <c r="BR17" s="101">
        <v>42.6</v>
      </c>
      <c r="BS17" s="101">
        <v>42.4</v>
      </c>
      <c r="BT17" s="101">
        <v>48.699999999999996</v>
      </c>
      <c r="BU17" s="81">
        <v>174.1</v>
      </c>
      <c r="BV17" s="56"/>
      <c r="BW17" s="110">
        <v>52</v>
      </c>
      <c r="BX17" s="101">
        <v>50.099999999999994</v>
      </c>
      <c r="BY17" s="101">
        <v>50.700000000000017</v>
      </c>
      <c r="BZ17" s="101">
        <v>51.299999999999983</v>
      </c>
      <c r="CA17" s="81">
        <v>204.1</v>
      </c>
      <c r="CB17" s="56"/>
      <c r="CC17" s="110">
        <v>55.8</v>
      </c>
      <c r="CD17" s="101">
        <v>59.7</v>
      </c>
      <c r="CE17" s="101">
        <v>53.7</v>
      </c>
      <c r="CF17" s="101">
        <v>52.800000000000011</v>
      </c>
      <c r="CG17" s="81">
        <v>222</v>
      </c>
    </row>
    <row r="18" spans="1:85" s="55" customFormat="1">
      <c r="A18" s="109" t="s">
        <v>177</v>
      </c>
      <c r="B18" s="101"/>
      <c r="C18" s="110"/>
      <c r="D18" s="101"/>
      <c r="E18" s="101"/>
      <c r="F18" s="101"/>
      <c r="G18" s="81"/>
      <c r="H18" s="56"/>
      <c r="I18" s="110"/>
      <c r="J18" s="101"/>
      <c r="K18" s="101"/>
      <c r="L18" s="101"/>
      <c r="M18" s="81"/>
      <c r="N18" s="56"/>
      <c r="O18" s="110"/>
      <c r="P18" s="101"/>
      <c r="Q18" s="101"/>
      <c r="R18" s="101"/>
      <c r="S18" s="81"/>
      <c r="T18" s="56"/>
      <c r="U18" s="110"/>
      <c r="V18" s="101">
        <v>18.5</v>
      </c>
      <c r="W18" s="101">
        <v>226.1</v>
      </c>
      <c r="X18" s="101"/>
      <c r="Y18" s="81">
        <v>244.6</v>
      </c>
      <c r="Z18" s="56"/>
      <c r="AA18" s="110"/>
      <c r="AB18" s="101"/>
      <c r="AC18" s="101"/>
      <c r="AD18" s="101"/>
      <c r="AE18" s="81"/>
      <c r="AF18" s="56"/>
      <c r="AG18" s="110"/>
      <c r="AH18" s="101"/>
      <c r="AI18" s="101"/>
      <c r="AJ18" s="101"/>
      <c r="AK18" s="81"/>
      <c r="AL18" s="56"/>
      <c r="AM18" s="110"/>
      <c r="AN18" s="101"/>
      <c r="AO18" s="101"/>
      <c r="AP18" s="101"/>
      <c r="AQ18" s="81"/>
      <c r="AR18" s="56"/>
      <c r="AS18" s="110"/>
      <c r="AT18" s="101"/>
      <c r="AU18" s="101"/>
      <c r="AV18" s="101"/>
      <c r="AW18" s="81"/>
      <c r="AX18" s="56"/>
      <c r="AY18" s="110"/>
      <c r="AZ18" s="101"/>
      <c r="BA18" s="101"/>
      <c r="BB18" s="101"/>
      <c r="BC18" s="81"/>
      <c r="BD18" s="56"/>
      <c r="BE18" s="110"/>
      <c r="BF18" s="101"/>
      <c r="BG18" s="101"/>
      <c r="BH18" s="101"/>
      <c r="BI18" s="81"/>
      <c r="BJ18" s="56"/>
      <c r="BK18" s="110"/>
      <c r="BL18" s="101"/>
      <c r="BM18" s="101"/>
      <c r="BN18" s="101"/>
      <c r="BO18" s="81"/>
      <c r="BP18" s="56"/>
      <c r="BQ18" s="110"/>
      <c r="BR18" s="101"/>
      <c r="BS18" s="101"/>
      <c r="BT18" s="101"/>
      <c r="BU18" s="81"/>
      <c r="BV18" s="56"/>
      <c r="BW18" s="110"/>
      <c r="BX18" s="101"/>
      <c r="BY18" s="101"/>
      <c r="BZ18" s="101"/>
      <c r="CA18" s="81"/>
      <c r="CB18" s="56"/>
      <c r="CC18" s="110"/>
      <c r="CD18" s="101"/>
      <c r="CE18" s="101"/>
      <c r="CF18" s="101"/>
      <c r="CG18" s="81"/>
    </row>
    <row r="19" spans="1:85" ht="5.25" customHeight="1">
      <c r="A19" s="53"/>
      <c r="B19" s="105"/>
      <c r="C19" s="106"/>
      <c r="D19" s="105"/>
      <c r="E19" s="105"/>
      <c r="F19" s="105"/>
      <c r="G19" s="108"/>
      <c r="H19" s="1"/>
      <c r="I19" s="106"/>
      <c r="J19" s="105"/>
      <c r="K19" s="105"/>
      <c r="L19" s="105"/>
      <c r="M19" s="108"/>
      <c r="N19" s="1"/>
      <c r="O19" s="106"/>
      <c r="P19" s="105"/>
      <c r="Q19" s="105"/>
      <c r="R19" s="105"/>
      <c r="S19" s="108"/>
      <c r="T19" s="1"/>
      <c r="U19" s="106"/>
      <c r="V19" s="105"/>
      <c r="W19" s="105"/>
      <c r="X19" s="105"/>
      <c r="Y19" s="108"/>
      <c r="Z19" s="1"/>
      <c r="AA19" s="106"/>
      <c r="AB19" s="105"/>
      <c r="AC19" s="105"/>
      <c r="AD19" s="105"/>
      <c r="AE19" s="108"/>
      <c r="AF19" s="1"/>
      <c r="AG19" s="106"/>
      <c r="AH19" s="105"/>
      <c r="AI19" s="105"/>
      <c r="AJ19" s="105"/>
      <c r="AK19" s="108"/>
      <c r="AL19" s="1"/>
      <c r="AM19" s="106"/>
      <c r="AN19" s="105"/>
      <c r="AO19" s="105"/>
      <c r="AP19" s="105"/>
      <c r="AQ19" s="108"/>
      <c r="AR19" s="1"/>
      <c r="AS19" s="106"/>
      <c r="AT19" s="105"/>
      <c r="AU19" s="105"/>
      <c r="AV19" s="105"/>
      <c r="AW19" s="108"/>
      <c r="AX19" s="1"/>
      <c r="AY19" s="106"/>
      <c r="AZ19" s="105"/>
      <c r="BA19" s="105"/>
      <c r="BB19" s="105"/>
      <c r="BC19" s="108"/>
      <c r="BD19" s="1"/>
      <c r="BE19" s="106"/>
      <c r="BF19" s="105"/>
      <c r="BG19" s="105"/>
      <c r="BH19" s="105"/>
      <c r="BI19" s="108"/>
      <c r="BJ19" s="1"/>
      <c r="BK19" s="106"/>
      <c r="BL19" s="105"/>
      <c r="BM19" s="105"/>
      <c r="BN19" s="105"/>
      <c r="BO19" s="108"/>
      <c r="BP19" s="96"/>
      <c r="BQ19" s="106"/>
      <c r="BR19" s="105"/>
      <c r="BS19" s="105"/>
      <c r="BT19" s="105"/>
      <c r="BU19" s="108"/>
      <c r="BV19" s="96"/>
      <c r="BW19" s="106"/>
      <c r="BX19" s="105"/>
      <c r="BY19" s="105"/>
      <c r="BZ19" s="105"/>
      <c r="CA19" s="108"/>
      <c r="CB19" s="96"/>
      <c r="CC19" s="106"/>
      <c r="CD19" s="105"/>
      <c r="CE19" s="105"/>
      <c r="CF19" s="105"/>
      <c r="CG19" s="108"/>
    </row>
    <row r="20" spans="1:85" s="55" customFormat="1">
      <c r="A20" s="100" t="s">
        <v>35</v>
      </c>
      <c r="B20" s="101"/>
      <c r="C20" s="102">
        <v>62.600000000000009</v>
      </c>
      <c r="D20" s="103">
        <v>90.1</v>
      </c>
      <c r="E20" s="103">
        <v>109.29999999999994</v>
      </c>
      <c r="F20" s="103">
        <v>110.1</v>
      </c>
      <c r="G20" s="104">
        <v>372.09999999999991</v>
      </c>
      <c r="H20" s="56"/>
      <c r="I20" s="102">
        <v>69.200000000000017</v>
      </c>
      <c r="J20" s="103">
        <v>102.59999999999998</v>
      </c>
      <c r="K20" s="103">
        <v>90.400000000000034</v>
      </c>
      <c r="L20" s="103">
        <v>132.00000000000011</v>
      </c>
      <c r="M20" s="104">
        <v>394.2000000000001</v>
      </c>
      <c r="N20" s="56"/>
      <c r="O20" s="102">
        <v>70.499999999999986</v>
      </c>
      <c r="P20" s="103">
        <v>94.5</v>
      </c>
      <c r="Q20" s="103">
        <v>153.6</v>
      </c>
      <c r="R20" s="103">
        <v>100.90000000000003</v>
      </c>
      <c r="S20" s="104">
        <v>419.49999999999994</v>
      </c>
      <c r="T20" s="56"/>
      <c r="U20" s="102">
        <v>75.499999999999972</v>
      </c>
      <c r="V20" s="103">
        <v>98.5</v>
      </c>
      <c r="W20" s="103">
        <v>-74.099999999999937</v>
      </c>
      <c r="X20" s="103">
        <v>115.50000000000004</v>
      </c>
      <c r="Y20" s="104">
        <v>215.39999999999995</v>
      </c>
      <c r="Z20" s="56"/>
      <c r="AA20" s="102">
        <v>110.1</v>
      </c>
      <c r="AB20" s="103">
        <v>170.30000000000007</v>
      </c>
      <c r="AC20" s="103">
        <v>191.89999999999995</v>
      </c>
      <c r="AD20" s="103">
        <v>147.90000000000003</v>
      </c>
      <c r="AE20" s="104">
        <v>620.19999999999993</v>
      </c>
      <c r="AF20" s="56"/>
      <c r="AG20" s="102">
        <v>121.09999999999997</v>
      </c>
      <c r="AH20" s="103">
        <v>164.79999999999995</v>
      </c>
      <c r="AI20" s="103">
        <v>169.7999999999999</v>
      </c>
      <c r="AJ20" s="103">
        <v>204.19999999999996</v>
      </c>
      <c r="AK20" s="104">
        <v>659.9</v>
      </c>
      <c r="AL20" s="56"/>
      <c r="AM20" s="102">
        <v>89.000000000000014</v>
      </c>
      <c r="AN20" s="103">
        <v>145.8000000000001</v>
      </c>
      <c r="AO20" s="103">
        <v>188.10000000000008</v>
      </c>
      <c r="AP20" s="103">
        <v>174.40000000000009</v>
      </c>
      <c r="AQ20" s="104">
        <v>597.29999999999995</v>
      </c>
      <c r="AR20" s="56"/>
      <c r="AS20" s="102">
        <v>79.099999999999966</v>
      </c>
      <c r="AT20" s="103">
        <v>131.09999999999991</v>
      </c>
      <c r="AU20" s="103">
        <v>177.39999999999989</v>
      </c>
      <c r="AV20" s="103">
        <v>239.9</v>
      </c>
      <c r="AW20" s="104">
        <v>627.50000000000023</v>
      </c>
      <c r="AX20" s="56"/>
      <c r="AY20" s="102">
        <v>75.60000000000008</v>
      </c>
      <c r="AZ20" s="103">
        <v>210.90000000000003</v>
      </c>
      <c r="BA20" s="103">
        <v>289.80000000000013</v>
      </c>
      <c r="BB20" s="103">
        <v>314.40000000000009</v>
      </c>
      <c r="BC20" s="104">
        <v>890.69999999999959</v>
      </c>
      <c r="BD20" s="56"/>
      <c r="BE20" s="102">
        <v>121.40000000000005</v>
      </c>
      <c r="BF20" s="103">
        <v>285.10000000000008</v>
      </c>
      <c r="BG20" s="103">
        <v>294.09999999999991</v>
      </c>
      <c r="BH20" s="103">
        <v>287.09999999999962</v>
      </c>
      <c r="BI20" s="104">
        <v>987.69999999999959</v>
      </c>
      <c r="BJ20" s="56"/>
      <c r="BK20" s="102">
        <v>123.90000000000009</v>
      </c>
      <c r="BL20" s="103">
        <v>268.00000000000006</v>
      </c>
      <c r="BM20" s="103">
        <v>264.70000000000022</v>
      </c>
      <c r="BN20" s="103">
        <v>258.90000000000043</v>
      </c>
      <c r="BO20" s="104">
        <v>915.50000000000023</v>
      </c>
      <c r="BP20" s="56"/>
      <c r="BQ20" s="102">
        <v>101.39999999999995</v>
      </c>
      <c r="BR20" s="103">
        <v>264.19999999999987</v>
      </c>
      <c r="BS20" s="103">
        <v>365.6</v>
      </c>
      <c r="BT20" s="103">
        <v>347.20000000000232</v>
      </c>
      <c r="BU20" s="104">
        <v>1078.4000000000015</v>
      </c>
      <c r="BV20" s="56"/>
      <c r="BW20" s="102">
        <v>154.60000000000002</v>
      </c>
      <c r="BX20" s="103">
        <v>301.99999999999955</v>
      </c>
      <c r="BY20" s="103">
        <v>364.00000000000011</v>
      </c>
      <c r="BZ20" s="103">
        <v>356.69999999999902</v>
      </c>
      <c r="CA20" s="104">
        <v>1177.2999999999988</v>
      </c>
      <c r="CB20" s="56"/>
      <c r="CC20" s="102">
        <v>172.50000000000006</v>
      </c>
      <c r="CD20" s="103">
        <v>227.99999999999983</v>
      </c>
      <c r="CE20" s="103">
        <v>447.29999999999978</v>
      </c>
      <c r="CF20" s="103">
        <v>452.39999999999924</v>
      </c>
      <c r="CG20" s="104">
        <v>1300.1999999999989</v>
      </c>
    </row>
    <row r="21" spans="1:85" ht="5.25" customHeight="1">
      <c r="A21" s="53"/>
      <c r="B21" s="105"/>
      <c r="C21" s="106"/>
      <c r="D21" s="105"/>
      <c r="E21" s="105"/>
      <c r="F21" s="105"/>
      <c r="G21" s="108"/>
      <c r="H21" s="1"/>
      <c r="I21" s="106"/>
      <c r="J21" s="105"/>
      <c r="K21" s="105"/>
      <c r="L21" s="105"/>
      <c r="M21" s="108"/>
      <c r="N21" s="1"/>
      <c r="O21" s="106"/>
      <c r="P21" s="105"/>
      <c r="Q21" s="105"/>
      <c r="R21" s="105"/>
      <c r="S21" s="108"/>
      <c r="T21" s="1"/>
      <c r="U21" s="106"/>
      <c r="V21" s="105"/>
      <c r="W21" s="105"/>
      <c r="X21" s="105"/>
      <c r="Y21" s="108"/>
      <c r="Z21" s="1"/>
      <c r="AA21" s="106"/>
      <c r="AB21" s="105"/>
      <c r="AC21" s="105"/>
      <c r="AD21" s="105"/>
      <c r="AE21" s="108"/>
      <c r="AF21" s="1"/>
      <c r="AG21" s="106"/>
      <c r="AH21" s="105"/>
      <c r="AI21" s="105"/>
      <c r="AJ21" s="105"/>
      <c r="AK21" s="108"/>
      <c r="AL21" s="1"/>
      <c r="AM21" s="106"/>
      <c r="AN21" s="105"/>
      <c r="AO21" s="105"/>
      <c r="AP21" s="105"/>
      <c r="AQ21" s="108"/>
      <c r="AR21" s="1"/>
      <c r="AS21" s="106"/>
      <c r="AT21" s="105"/>
      <c r="AU21" s="105"/>
      <c r="AV21" s="105"/>
      <c r="AW21" s="108"/>
      <c r="AX21" s="1"/>
      <c r="AY21" s="106"/>
      <c r="AZ21" s="105"/>
      <c r="BA21" s="105"/>
      <c r="BB21" s="105"/>
      <c r="BC21" s="108"/>
      <c r="BD21" s="1"/>
      <c r="BE21" s="106"/>
      <c r="BF21" s="105"/>
      <c r="BG21" s="105"/>
      <c r="BH21" s="105"/>
      <c r="BI21" s="108"/>
      <c r="BJ21" s="1"/>
      <c r="BK21" s="106"/>
      <c r="BL21" s="105"/>
      <c r="BM21" s="105"/>
      <c r="BN21" s="105"/>
      <c r="BO21" s="108"/>
      <c r="BP21" s="96"/>
      <c r="BQ21" s="106"/>
      <c r="BR21" s="105"/>
      <c r="BS21" s="105"/>
      <c r="BT21" s="105"/>
      <c r="BU21" s="108"/>
      <c r="BV21" s="1"/>
      <c r="BW21" s="106"/>
      <c r="BX21" s="105"/>
      <c r="BY21" s="105"/>
      <c r="BZ21" s="105"/>
      <c r="CA21" s="108"/>
      <c r="CB21" s="1"/>
      <c r="CC21" s="106"/>
      <c r="CD21" s="105"/>
      <c r="CE21" s="105"/>
      <c r="CF21" s="105"/>
      <c r="CG21" s="108"/>
    </row>
    <row r="22" spans="1:85" s="55" customFormat="1">
      <c r="A22" s="109" t="s">
        <v>107</v>
      </c>
      <c r="B22" s="101"/>
      <c r="C22" s="110">
        <v>-2.5</v>
      </c>
      <c r="D22" s="101">
        <v>-3.8</v>
      </c>
      <c r="E22" s="101">
        <v>-5.3</v>
      </c>
      <c r="F22" s="101">
        <v>8.8000000000000007</v>
      </c>
      <c r="G22" s="81">
        <v>-2.7999999999999989</v>
      </c>
      <c r="H22" s="56"/>
      <c r="I22" s="110">
        <v>-3.9</v>
      </c>
      <c r="J22" s="101">
        <v>-6.4</v>
      </c>
      <c r="K22" s="101">
        <v>-8.1999999999999993</v>
      </c>
      <c r="L22" s="101">
        <v>-5.6000000000000014</v>
      </c>
      <c r="M22" s="81">
        <v>-24.1</v>
      </c>
      <c r="N22" s="56"/>
      <c r="O22" s="110">
        <v>65.099999999999994</v>
      </c>
      <c r="P22" s="101">
        <v>-5</v>
      </c>
      <c r="Q22" s="101">
        <v>11.9</v>
      </c>
      <c r="R22" s="101">
        <v>27</v>
      </c>
      <c r="S22" s="81">
        <v>99</v>
      </c>
      <c r="T22" s="56"/>
      <c r="U22" s="110">
        <v>-3</v>
      </c>
      <c r="V22" s="101">
        <v>-3.3</v>
      </c>
      <c r="W22" s="101">
        <v>-3.3</v>
      </c>
      <c r="X22" s="101">
        <v>2.8</v>
      </c>
      <c r="Y22" s="81">
        <v>-6.8</v>
      </c>
      <c r="Z22" s="56"/>
      <c r="AA22" s="110">
        <v>-8</v>
      </c>
      <c r="AB22" s="101">
        <v>-9</v>
      </c>
      <c r="AC22" s="101">
        <v>-8</v>
      </c>
      <c r="AD22" s="101">
        <v>3.3</v>
      </c>
      <c r="AE22" s="81">
        <v>-21.7</v>
      </c>
      <c r="AF22" s="56"/>
      <c r="AG22" s="110">
        <v>-6.9</v>
      </c>
      <c r="AH22" s="101">
        <v>-6.1</v>
      </c>
      <c r="AI22" s="101">
        <v>-9.4</v>
      </c>
      <c r="AJ22" s="101">
        <v>-9.1000000000000014</v>
      </c>
      <c r="AK22" s="81">
        <v>-31.5</v>
      </c>
      <c r="AL22" s="56"/>
      <c r="AM22" s="110">
        <v>-9.1999999999999993</v>
      </c>
      <c r="AN22" s="101">
        <v>-9.1999999999999993</v>
      </c>
      <c r="AO22" s="101">
        <v>-8.8000000000000007</v>
      </c>
      <c r="AP22" s="101">
        <v>-12.7</v>
      </c>
      <c r="AQ22" s="81">
        <v>-39.9</v>
      </c>
      <c r="AR22" s="56"/>
      <c r="AS22" s="110">
        <v>-8.8000000000000007</v>
      </c>
      <c r="AT22" s="101">
        <v>-8.1999999999999993</v>
      </c>
      <c r="AU22" s="101">
        <v>-8.1999999999999993</v>
      </c>
      <c r="AV22" s="101">
        <v>1.1000000000000001</v>
      </c>
      <c r="AW22" s="81">
        <v>-24.099999999999998</v>
      </c>
      <c r="AX22" s="56"/>
      <c r="AY22" s="110">
        <v>-8</v>
      </c>
      <c r="AZ22" s="101">
        <v>-7.2</v>
      </c>
      <c r="BA22" s="101">
        <v>-7</v>
      </c>
      <c r="BB22" s="101">
        <v>-2.5</v>
      </c>
      <c r="BC22" s="81">
        <v>-24.7</v>
      </c>
      <c r="BD22" s="56"/>
      <c r="BE22" s="110">
        <v>-4.0999999999999996</v>
      </c>
      <c r="BF22" s="101">
        <v>8.1</v>
      </c>
      <c r="BG22" s="101">
        <v>31.7</v>
      </c>
      <c r="BH22" s="101">
        <v>-15.300000000000004</v>
      </c>
      <c r="BI22" s="81">
        <v>20.399999999999999</v>
      </c>
      <c r="BJ22" s="56"/>
      <c r="BK22" s="110">
        <v>-3.1</v>
      </c>
      <c r="BL22" s="101">
        <v>9.1</v>
      </c>
      <c r="BM22" s="101">
        <v>4.3</v>
      </c>
      <c r="BN22" s="101">
        <v>-38.699999999999996</v>
      </c>
      <c r="BO22" s="81">
        <v>-28.4</v>
      </c>
      <c r="BP22" s="56"/>
      <c r="BQ22" s="110">
        <v>6</v>
      </c>
      <c r="BR22" s="101">
        <v>-11</v>
      </c>
      <c r="BS22" s="101">
        <v>-8.1999999999999993</v>
      </c>
      <c r="BT22" s="101">
        <v>-32.5</v>
      </c>
      <c r="BU22" s="81">
        <v>-45.7</v>
      </c>
      <c r="BV22" s="56"/>
      <c r="BW22" s="110">
        <v>-7.4</v>
      </c>
      <c r="BX22" s="101">
        <v>-17</v>
      </c>
      <c r="BY22" s="101">
        <v>-26.5</v>
      </c>
      <c r="BZ22" s="101">
        <v>4.0000000000000018</v>
      </c>
      <c r="CA22" s="81">
        <v>-46.9</v>
      </c>
      <c r="CB22" s="56"/>
      <c r="CC22" s="110">
        <v>-206.4</v>
      </c>
      <c r="CD22" s="101">
        <v>30.8</v>
      </c>
      <c r="CE22" s="101">
        <v>-44.6</v>
      </c>
      <c r="CF22" s="101">
        <v>-9.6000000000000227</v>
      </c>
      <c r="CG22" s="81">
        <v>-229.8</v>
      </c>
    </row>
    <row r="23" spans="1:85" ht="5.25" customHeight="1">
      <c r="A23" s="53"/>
      <c r="B23" s="105"/>
      <c r="C23" s="106"/>
      <c r="D23" s="105"/>
      <c r="E23" s="105"/>
      <c r="F23" s="105"/>
      <c r="G23" s="107"/>
      <c r="H23" s="1"/>
      <c r="I23" s="106"/>
      <c r="J23" s="105"/>
      <c r="K23" s="105"/>
      <c r="L23" s="105"/>
      <c r="M23" s="107"/>
      <c r="N23" s="1"/>
      <c r="O23" s="106"/>
      <c r="P23" s="105"/>
      <c r="Q23" s="105"/>
      <c r="R23" s="105"/>
      <c r="S23" s="107"/>
      <c r="T23" s="1"/>
      <c r="U23" s="106"/>
      <c r="V23" s="105"/>
      <c r="W23" s="105"/>
      <c r="X23" s="105"/>
      <c r="Y23" s="107"/>
      <c r="Z23" s="1"/>
      <c r="AA23" s="106"/>
      <c r="AB23" s="105"/>
      <c r="AC23" s="105"/>
      <c r="AD23" s="105"/>
      <c r="AE23" s="107"/>
      <c r="AF23" s="1"/>
      <c r="AG23" s="106"/>
      <c r="AH23" s="105"/>
      <c r="AI23" s="105"/>
      <c r="AJ23" s="105"/>
      <c r="AK23" s="107"/>
      <c r="AL23" s="1"/>
      <c r="AM23" s="106"/>
      <c r="AN23" s="105"/>
      <c r="AO23" s="105"/>
      <c r="AP23" s="105"/>
      <c r="AQ23" s="107"/>
      <c r="AR23" s="1"/>
      <c r="AS23" s="106"/>
      <c r="AT23" s="105"/>
      <c r="AU23" s="105"/>
      <c r="AV23" s="105"/>
      <c r="AW23" s="107"/>
      <c r="AX23" s="1"/>
      <c r="AY23" s="106"/>
      <c r="AZ23" s="105"/>
      <c r="BA23" s="105"/>
      <c r="BB23" s="105"/>
      <c r="BC23" s="107"/>
      <c r="BD23" s="1"/>
      <c r="BE23" s="106"/>
      <c r="BF23" s="105"/>
      <c r="BG23" s="105"/>
      <c r="BH23" s="105"/>
      <c r="BI23" s="107"/>
      <c r="BJ23" s="1"/>
      <c r="BK23" s="106"/>
      <c r="BL23" s="105"/>
      <c r="BM23" s="105"/>
      <c r="BN23" s="105"/>
      <c r="BO23" s="108"/>
      <c r="BP23" s="96"/>
      <c r="BQ23" s="106"/>
      <c r="BR23" s="105"/>
      <c r="BS23" s="105"/>
      <c r="BT23" s="105"/>
      <c r="BU23" s="108"/>
      <c r="BV23" s="1"/>
      <c r="BW23" s="106"/>
      <c r="BX23" s="105"/>
      <c r="BY23" s="105"/>
      <c r="BZ23" s="105"/>
      <c r="CA23" s="108"/>
      <c r="CB23" s="1"/>
      <c r="CC23" s="106"/>
      <c r="CD23" s="105"/>
      <c r="CE23" s="105"/>
      <c r="CF23" s="105"/>
      <c r="CG23" s="108"/>
    </row>
    <row r="24" spans="1:85" s="55" customFormat="1">
      <c r="A24" s="100" t="s">
        <v>37</v>
      </c>
      <c r="B24" s="101"/>
      <c r="C24" s="102">
        <v>60.100000000000009</v>
      </c>
      <c r="D24" s="103">
        <v>86.3</v>
      </c>
      <c r="E24" s="103">
        <v>103.99999999999994</v>
      </c>
      <c r="F24" s="103">
        <v>118.89999999999999</v>
      </c>
      <c r="G24" s="104">
        <v>369.2999999999999</v>
      </c>
      <c r="H24" s="56"/>
      <c r="I24" s="102">
        <v>65.300000000000011</v>
      </c>
      <c r="J24" s="103">
        <v>96.199999999999974</v>
      </c>
      <c r="K24" s="103">
        <v>82.200000000000031</v>
      </c>
      <c r="L24" s="103">
        <v>126.40000000000012</v>
      </c>
      <c r="M24" s="104">
        <v>370.10000000000008</v>
      </c>
      <c r="N24" s="56"/>
      <c r="O24" s="102">
        <v>135.59999999999997</v>
      </c>
      <c r="P24" s="103">
        <v>89.5</v>
      </c>
      <c r="Q24" s="103">
        <v>165.5</v>
      </c>
      <c r="R24" s="103">
        <v>127.90000000000003</v>
      </c>
      <c r="S24" s="104">
        <v>518.5</v>
      </c>
      <c r="T24" s="56"/>
      <c r="U24" s="102">
        <v>72.499999999999972</v>
      </c>
      <c r="V24" s="103">
        <v>95.2</v>
      </c>
      <c r="W24" s="103">
        <v>-77.399999999999935</v>
      </c>
      <c r="X24" s="103">
        <v>118.30000000000004</v>
      </c>
      <c r="Y24" s="104">
        <v>208.59999999999994</v>
      </c>
      <c r="Z24" s="56"/>
      <c r="AA24" s="102">
        <v>102.1</v>
      </c>
      <c r="AB24" s="103">
        <v>161.30000000000007</v>
      </c>
      <c r="AC24" s="103">
        <v>183.89999999999995</v>
      </c>
      <c r="AD24" s="103">
        <v>151.20000000000005</v>
      </c>
      <c r="AE24" s="104">
        <v>598.49999999999989</v>
      </c>
      <c r="AF24" s="56"/>
      <c r="AG24" s="102">
        <v>114.19999999999996</v>
      </c>
      <c r="AH24" s="103">
        <v>158.69999999999996</v>
      </c>
      <c r="AI24" s="103">
        <v>160.39999999999989</v>
      </c>
      <c r="AJ24" s="103">
        <v>195.09999999999997</v>
      </c>
      <c r="AK24" s="104">
        <v>628.4</v>
      </c>
      <c r="AL24" s="56"/>
      <c r="AM24" s="102">
        <v>79.800000000000011</v>
      </c>
      <c r="AN24" s="103">
        <v>136.60000000000011</v>
      </c>
      <c r="AO24" s="103">
        <v>179.30000000000007</v>
      </c>
      <c r="AP24" s="103">
        <v>161.7000000000001</v>
      </c>
      <c r="AQ24" s="104">
        <v>557.4</v>
      </c>
      <c r="AR24" s="56"/>
      <c r="AS24" s="102">
        <v>70.299999999999969</v>
      </c>
      <c r="AT24" s="103">
        <v>122.89999999999991</v>
      </c>
      <c r="AU24" s="103">
        <v>169.1999999999999</v>
      </c>
      <c r="AV24" s="103">
        <v>241</v>
      </c>
      <c r="AW24" s="104">
        <v>603.4000000000002</v>
      </c>
      <c r="AX24" s="56"/>
      <c r="AY24" s="102">
        <v>67.60000000000008</v>
      </c>
      <c r="AZ24" s="103">
        <v>203.70000000000005</v>
      </c>
      <c r="BA24" s="103">
        <v>282.80000000000013</v>
      </c>
      <c r="BB24" s="103">
        <v>311.90000000000009</v>
      </c>
      <c r="BC24" s="104">
        <v>865.99999999999955</v>
      </c>
      <c r="BD24" s="56"/>
      <c r="BE24" s="102">
        <v>117.30000000000005</v>
      </c>
      <c r="BF24" s="103">
        <v>293.2000000000001</v>
      </c>
      <c r="BG24" s="103">
        <v>325.7999999999999</v>
      </c>
      <c r="BH24" s="103">
        <v>271.79999999999961</v>
      </c>
      <c r="BI24" s="104">
        <v>1008.0999999999996</v>
      </c>
      <c r="BJ24" s="56"/>
      <c r="BK24" s="102">
        <v>120.8000000000001</v>
      </c>
      <c r="BL24" s="103">
        <v>277.10000000000008</v>
      </c>
      <c r="BM24" s="103">
        <v>269.00000000000023</v>
      </c>
      <c r="BN24" s="103">
        <v>220.20000000000044</v>
      </c>
      <c r="BO24" s="104">
        <v>887.10000000000025</v>
      </c>
      <c r="BP24" s="56"/>
      <c r="BQ24" s="102">
        <v>107.39999999999995</v>
      </c>
      <c r="BR24" s="103">
        <v>253.19999999999987</v>
      </c>
      <c r="BS24" s="103">
        <v>357.40000000000003</v>
      </c>
      <c r="BT24" s="103">
        <v>314.70000000000232</v>
      </c>
      <c r="BU24" s="104">
        <v>1032.7000000000014</v>
      </c>
      <c r="BV24" s="56"/>
      <c r="BW24" s="102">
        <v>147.20000000000002</v>
      </c>
      <c r="BX24" s="103">
        <v>284.99999999999955</v>
      </c>
      <c r="BY24" s="103">
        <v>337.50000000000011</v>
      </c>
      <c r="BZ24" s="103">
        <v>360.69999999999902</v>
      </c>
      <c r="CA24" s="104">
        <v>1130.3999999999987</v>
      </c>
      <c r="CB24" s="56"/>
      <c r="CC24" s="102">
        <v>-33.899999999999949</v>
      </c>
      <c r="CD24" s="103">
        <v>258.79999999999984</v>
      </c>
      <c r="CE24" s="103">
        <v>402.69999999999976</v>
      </c>
      <c r="CF24" s="103">
        <v>442.79999999999922</v>
      </c>
      <c r="CG24" s="104">
        <v>1070.399999999999</v>
      </c>
    </row>
    <row r="25" spans="1:85">
      <c r="A25" s="54" t="s">
        <v>106</v>
      </c>
      <c r="B25" s="46"/>
      <c r="C25" s="47">
        <v>0.101025382417213</v>
      </c>
      <c r="D25" s="46">
        <v>0.13034284851230932</v>
      </c>
      <c r="E25" s="46">
        <v>0.16267792898482708</v>
      </c>
      <c r="F25" s="46">
        <v>0.16305540318156883</v>
      </c>
      <c r="G25" s="48">
        <v>0.14065892211007422</v>
      </c>
      <c r="H25" s="1"/>
      <c r="I25" s="47">
        <v>0.10852584344357655</v>
      </c>
      <c r="J25" s="46">
        <v>0.14490134056333781</v>
      </c>
      <c r="K25" s="46">
        <v>0.12589983152090678</v>
      </c>
      <c r="L25" s="46">
        <v>0.14707935769141273</v>
      </c>
      <c r="M25" s="48">
        <v>0.13323013787393356</v>
      </c>
      <c r="N25" s="1"/>
      <c r="O25" s="47">
        <v>0.22398414271555991</v>
      </c>
      <c r="P25" s="46">
        <v>0.13336313515124423</v>
      </c>
      <c r="Q25" s="46">
        <v>0.23192264573991031</v>
      </c>
      <c r="R25" s="46">
        <v>0.17026091586794465</v>
      </c>
      <c r="S25" s="48">
        <v>0.18914383686572064</v>
      </c>
      <c r="T25" s="1"/>
      <c r="U25" s="47">
        <v>0.12344627958453938</v>
      </c>
      <c r="V25" s="46">
        <v>0.13194733194733196</v>
      </c>
      <c r="W25" s="46">
        <v>-9.8875830352580407E-2</v>
      </c>
      <c r="X25" s="46">
        <v>0.15058553971486766</v>
      </c>
      <c r="Y25" s="48">
        <v>7.2501042680383695E-2</v>
      </c>
      <c r="Z25" s="1"/>
      <c r="AA25" s="47">
        <v>0.1368632707774799</v>
      </c>
      <c r="AB25" s="46">
        <v>0.17825174052381484</v>
      </c>
      <c r="AC25" s="46">
        <v>0.18784473953013273</v>
      </c>
      <c r="AD25" s="46">
        <v>0.17067389095834748</v>
      </c>
      <c r="AE25" s="48">
        <v>0.17023152625291538</v>
      </c>
      <c r="AF25" s="1"/>
      <c r="AG25" s="47">
        <v>0.14312570497556079</v>
      </c>
      <c r="AH25" s="46">
        <v>0.17524293286219075</v>
      </c>
      <c r="AI25" s="46">
        <v>0.15123514991514228</v>
      </c>
      <c r="AJ25" s="46">
        <v>0.17069116360454939</v>
      </c>
      <c r="AK25" s="48">
        <v>0.16083540221647769</v>
      </c>
      <c r="AL25" s="1"/>
      <c r="AM25" s="47">
        <v>8.553971486761712E-2</v>
      </c>
      <c r="AN25" s="46">
        <v>0.12097059865391437</v>
      </c>
      <c r="AO25" s="46">
        <v>0.15071026309153573</v>
      </c>
      <c r="AP25" s="46">
        <v>0.13829969209716053</v>
      </c>
      <c r="AQ25" s="48">
        <v>0.12608007238181407</v>
      </c>
      <c r="AR25" s="1"/>
      <c r="AS25" s="47">
        <v>6.8800156586416097E-2</v>
      </c>
      <c r="AT25" s="46">
        <v>0.10791114233031866</v>
      </c>
      <c r="AU25" s="46">
        <v>0.1424482236066677</v>
      </c>
      <c r="AV25" s="46">
        <v>0.17208139950017851</v>
      </c>
      <c r="AW25" s="48">
        <v>0.12705832806906722</v>
      </c>
      <c r="AX25" s="1"/>
      <c r="AY25" s="47">
        <v>6.1071460836570668E-2</v>
      </c>
      <c r="AZ25" s="46">
        <v>0.13838315217391309</v>
      </c>
      <c r="BA25" s="46">
        <v>0.16174788377945556</v>
      </c>
      <c r="BB25" s="46">
        <v>0.17178894029521927</v>
      </c>
      <c r="BC25" s="48">
        <v>0.14097576063422806</v>
      </c>
      <c r="BD25" s="1"/>
      <c r="BE25" s="47">
        <v>8.628172122103718E-2</v>
      </c>
      <c r="BF25" s="46">
        <v>0.16565907678399913</v>
      </c>
      <c r="BG25" s="46">
        <v>0.19001516388662074</v>
      </c>
      <c r="BH25" s="46">
        <v>0.1539158502746473</v>
      </c>
      <c r="BI25" s="48">
        <v>0.15251365376178153</v>
      </c>
      <c r="BJ25" s="1"/>
      <c r="BK25" s="47">
        <v>7.7252669949478867E-2</v>
      </c>
      <c r="BL25" s="46">
        <v>0.14051724137931038</v>
      </c>
      <c r="BM25" s="46">
        <v>0.14498221407782699</v>
      </c>
      <c r="BN25" s="46">
        <v>0.10788829005389533</v>
      </c>
      <c r="BO25" s="48">
        <v>0.11936061140189182</v>
      </c>
      <c r="BP25" s="96"/>
      <c r="BQ25" s="47">
        <v>6.1224489795918338E-2</v>
      </c>
      <c r="BR25" s="46">
        <v>0.11901292596944765</v>
      </c>
      <c r="BS25" s="46">
        <v>0.15906359873603632</v>
      </c>
      <c r="BT25" s="46">
        <v>0.12755350194552614</v>
      </c>
      <c r="BU25" s="48">
        <v>0.12014006840550051</v>
      </c>
      <c r="BV25" s="1"/>
      <c r="BW25" s="47">
        <v>7.0752223023311717E-2</v>
      </c>
      <c r="BX25" s="71">
        <v>0.12291370164316193</v>
      </c>
      <c r="BY25" s="71">
        <v>0.14191405264485751</v>
      </c>
      <c r="BZ25" s="71">
        <v>0.14041029234302585</v>
      </c>
      <c r="CA25" s="48">
        <v>0.12094625680750659</v>
      </c>
      <c r="CB25" s="1"/>
      <c r="CC25" s="47">
        <v>-1.4726324934839248E-2</v>
      </c>
      <c r="CD25" s="71">
        <v>0.11159020351845458</v>
      </c>
      <c r="CE25" s="71">
        <v>0.15619424404623372</v>
      </c>
      <c r="CF25" s="71">
        <v>0.16149385462635371</v>
      </c>
      <c r="CG25" s="48">
        <v>0.10767203484453734</v>
      </c>
    </row>
    <row r="26" spans="1:85" ht="5.25" customHeight="1">
      <c r="A26" s="53"/>
      <c r="B26" s="105"/>
      <c r="C26" s="106"/>
      <c r="D26" s="105"/>
      <c r="E26" s="105"/>
      <c r="F26" s="105"/>
      <c r="G26" s="107"/>
      <c r="H26" s="1"/>
      <c r="I26" s="106"/>
      <c r="J26" s="105"/>
      <c r="K26" s="105"/>
      <c r="L26" s="105"/>
      <c r="M26" s="107"/>
      <c r="N26" s="1"/>
      <c r="O26" s="106"/>
      <c r="P26" s="105"/>
      <c r="Q26" s="105"/>
      <c r="R26" s="105"/>
      <c r="S26" s="107"/>
      <c r="T26" s="1"/>
      <c r="U26" s="106"/>
      <c r="V26" s="105"/>
      <c r="W26" s="105"/>
      <c r="X26" s="105"/>
      <c r="Y26" s="107"/>
      <c r="Z26" s="1"/>
      <c r="AA26" s="106"/>
      <c r="AB26" s="105"/>
      <c r="AC26" s="105"/>
      <c r="AD26" s="105"/>
      <c r="AE26" s="107"/>
      <c r="AF26" s="1"/>
      <c r="AG26" s="106"/>
      <c r="AH26" s="105"/>
      <c r="AI26" s="105"/>
      <c r="AJ26" s="105"/>
      <c r="AK26" s="107"/>
      <c r="AL26" s="1"/>
      <c r="AM26" s="106"/>
      <c r="AN26" s="105"/>
      <c r="AO26" s="105"/>
      <c r="AP26" s="105"/>
      <c r="AQ26" s="107"/>
      <c r="AR26" s="1"/>
      <c r="AS26" s="106"/>
      <c r="AT26" s="105"/>
      <c r="AU26" s="105"/>
      <c r="AV26" s="105"/>
      <c r="AW26" s="107"/>
      <c r="AX26" s="1"/>
      <c r="AY26" s="106"/>
      <c r="AZ26" s="105"/>
      <c r="BA26" s="105"/>
      <c r="BB26" s="105"/>
      <c r="BC26" s="107"/>
      <c r="BD26" s="1"/>
      <c r="BE26" s="106"/>
      <c r="BF26" s="105"/>
      <c r="BG26" s="105"/>
      <c r="BH26" s="105"/>
      <c r="BI26" s="107"/>
      <c r="BJ26" s="1"/>
      <c r="BK26" s="106"/>
      <c r="BL26" s="105"/>
      <c r="BM26" s="105"/>
      <c r="BN26" s="105"/>
      <c r="BO26" s="108"/>
      <c r="BP26" s="96"/>
      <c r="BQ26" s="106"/>
      <c r="BR26" s="105"/>
      <c r="BS26" s="105"/>
      <c r="BT26" s="105"/>
      <c r="BU26" s="108"/>
      <c r="BV26" s="1"/>
      <c r="BW26" s="106"/>
      <c r="BX26" s="105"/>
      <c r="BY26" s="105"/>
      <c r="BZ26" s="105"/>
      <c r="CA26" s="108"/>
      <c r="CB26" s="1"/>
      <c r="CC26" s="106"/>
      <c r="CD26" s="105"/>
      <c r="CE26" s="105"/>
      <c r="CF26" s="105"/>
      <c r="CG26" s="108"/>
    </row>
    <row r="27" spans="1:85" s="55" customFormat="1">
      <c r="A27" s="109" t="s">
        <v>38</v>
      </c>
      <c r="B27" s="101"/>
      <c r="C27" s="110">
        <v>18.8</v>
      </c>
      <c r="D27" s="101">
        <v>29.5</v>
      </c>
      <c r="E27" s="101">
        <v>34.5</v>
      </c>
      <c r="F27" s="101">
        <v>39.799999999999997</v>
      </c>
      <c r="G27" s="81">
        <v>122.6</v>
      </c>
      <c r="H27" s="56"/>
      <c r="I27" s="110">
        <v>21.6</v>
      </c>
      <c r="J27" s="101">
        <v>31.6</v>
      </c>
      <c r="K27" s="101">
        <v>25.9</v>
      </c>
      <c r="L27" s="101">
        <v>37.200000000000017</v>
      </c>
      <c r="M27" s="81">
        <v>116.30000000000001</v>
      </c>
      <c r="N27" s="56"/>
      <c r="O27" s="110">
        <v>47.7</v>
      </c>
      <c r="P27" s="101">
        <v>31.9</v>
      </c>
      <c r="Q27" s="101">
        <v>57.8</v>
      </c>
      <c r="R27" s="101">
        <v>34.799999999999997</v>
      </c>
      <c r="S27" s="81">
        <v>172.2</v>
      </c>
      <c r="T27" s="56"/>
      <c r="U27" s="110">
        <v>22.7</v>
      </c>
      <c r="V27" s="101">
        <v>28.700000000000003</v>
      </c>
      <c r="W27" s="101">
        <v>45.5</v>
      </c>
      <c r="X27" s="101">
        <v>32.120000000000005</v>
      </c>
      <c r="Y27" s="81">
        <v>129.02000000000001</v>
      </c>
      <c r="Z27" s="56"/>
      <c r="AA27" s="110">
        <v>32.299999999999997</v>
      </c>
      <c r="AB27" s="101">
        <v>49.8</v>
      </c>
      <c r="AC27" s="101">
        <v>56.9</v>
      </c>
      <c r="AD27" s="101">
        <v>23.599999999999998</v>
      </c>
      <c r="AE27" s="81">
        <v>162.6</v>
      </c>
      <c r="AF27" s="56"/>
      <c r="AG27" s="110">
        <v>33.4</v>
      </c>
      <c r="AH27" s="101">
        <v>47.4</v>
      </c>
      <c r="AI27" s="101">
        <v>47.899999999999991</v>
      </c>
      <c r="AJ27" s="101">
        <v>24</v>
      </c>
      <c r="AK27" s="81">
        <v>152.69999999999999</v>
      </c>
      <c r="AL27" s="56"/>
      <c r="AM27" s="110">
        <v>20.2</v>
      </c>
      <c r="AN27" s="101">
        <v>35.799999999999997</v>
      </c>
      <c r="AO27" s="101">
        <v>46.9</v>
      </c>
      <c r="AP27" s="101">
        <v>35.1</v>
      </c>
      <c r="AQ27" s="81">
        <v>138</v>
      </c>
      <c r="AR27" s="56"/>
      <c r="AS27" s="110">
        <v>17</v>
      </c>
      <c r="AT27" s="101">
        <v>29.6</v>
      </c>
      <c r="AU27" s="101">
        <v>42.4</v>
      </c>
      <c r="AV27" s="101">
        <v>59.400000000000006</v>
      </c>
      <c r="AW27" s="81">
        <v>148.4</v>
      </c>
      <c r="AX27" s="56"/>
      <c r="AY27" s="110">
        <v>17.3</v>
      </c>
      <c r="AZ27" s="101">
        <v>52.2</v>
      </c>
      <c r="BA27" s="101">
        <v>80.599999999999994</v>
      </c>
      <c r="BB27" s="101">
        <v>61.5</v>
      </c>
      <c r="BC27" s="81">
        <v>211.6</v>
      </c>
      <c r="BD27" s="56"/>
      <c r="BE27" s="110">
        <v>28.6</v>
      </c>
      <c r="BF27" s="101">
        <v>71.5</v>
      </c>
      <c r="BG27" s="101">
        <v>79.5</v>
      </c>
      <c r="BH27" s="101">
        <v>77.299999999999983</v>
      </c>
      <c r="BI27" s="81">
        <v>256.89999999999998</v>
      </c>
      <c r="BJ27" s="56"/>
      <c r="BK27" s="110">
        <v>30.8</v>
      </c>
      <c r="BL27" s="101">
        <v>70.7</v>
      </c>
      <c r="BM27" s="101">
        <v>68.599999999999994</v>
      </c>
      <c r="BN27" s="101">
        <v>59.200000000000017</v>
      </c>
      <c r="BO27" s="81">
        <v>229.3</v>
      </c>
      <c r="BP27" s="56"/>
      <c r="BQ27" s="110">
        <v>26.3</v>
      </c>
      <c r="BR27" s="101">
        <v>62</v>
      </c>
      <c r="BS27" s="101">
        <v>87.6</v>
      </c>
      <c r="BT27" s="101">
        <v>77.90000000000002</v>
      </c>
      <c r="BU27" s="81">
        <v>253.8</v>
      </c>
      <c r="BV27" s="56"/>
      <c r="BW27" s="110">
        <v>35.299999999999997</v>
      </c>
      <c r="BX27" s="101">
        <v>68.400000000000006</v>
      </c>
      <c r="BY27" s="101">
        <v>81.100000000000009</v>
      </c>
      <c r="BZ27" s="101">
        <v>87.3</v>
      </c>
      <c r="CA27" s="81">
        <v>272.10000000000002</v>
      </c>
      <c r="CB27" s="56"/>
      <c r="CC27" s="110">
        <v>-8.5</v>
      </c>
      <c r="CD27" s="101">
        <v>64.7</v>
      </c>
      <c r="CE27" s="101">
        <v>100.7</v>
      </c>
      <c r="CF27" s="101">
        <v>115.3</v>
      </c>
      <c r="CG27" s="81">
        <v>272.2</v>
      </c>
    </row>
    <row r="28" spans="1:85">
      <c r="A28" s="54" t="s">
        <v>106</v>
      </c>
      <c r="B28" s="46"/>
      <c r="C28" s="47">
        <v>0.31281198003327781</v>
      </c>
      <c r="D28" s="46">
        <v>0.34183082271147164</v>
      </c>
      <c r="E28" s="46">
        <v>0.33173076923076938</v>
      </c>
      <c r="F28" s="46">
        <v>0.3347350714886459</v>
      </c>
      <c r="G28" s="48">
        <v>0.33197942052531826</v>
      </c>
      <c r="H28" s="1"/>
      <c r="I28" s="47">
        <v>0.33078101071975496</v>
      </c>
      <c r="J28" s="46">
        <v>0.32848232848232861</v>
      </c>
      <c r="K28" s="46">
        <v>0.31508515815085142</v>
      </c>
      <c r="L28" s="46">
        <v>0.29430379746835428</v>
      </c>
      <c r="M28" s="48">
        <v>0.31423939475817342</v>
      </c>
      <c r="N28" s="1"/>
      <c r="O28" s="47">
        <v>0.35176991150442488</v>
      </c>
      <c r="P28" s="46">
        <v>0.35642458100558655</v>
      </c>
      <c r="Q28" s="46">
        <v>0.34924471299093651</v>
      </c>
      <c r="R28" s="46">
        <v>0.27208756841282244</v>
      </c>
      <c r="S28" s="48">
        <v>0.33211186113789776</v>
      </c>
      <c r="T28" s="1"/>
      <c r="U28" s="47">
        <v>0.31310344827586217</v>
      </c>
      <c r="V28" s="46">
        <v>0.30147058823529416</v>
      </c>
      <c r="W28" s="46">
        <v>-0.58785529715762319</v>
      </c>
      <c r="X28" s="46">
        <v>0.271513102282333</v>
      </c>
      <c r="Y28" s="48">
        <v>0.61850431447746912</v>
      </c>
      <c r="Z28" s="1"/>
      <c r="AA28" s="47">
        <v>0.31635651322233105</v>
      </c>
      <c r="AB28" s="46">
        <v>0.30874147551146919</v>
      </c>
      <c r="AC28" s="46">
        <v>0.30940728656878747</v>
      </c>
      <c r="AD28" s="46">
        <v>0.15608465608465602</v>
      </c>
      <c r="AE28" s="48">
        <v>0.27167919799498752</v>
      </c>
      <c r="AF28" s="1"/>
      <c r="AG28" s="47">
        <v>0.29246935201401059</v>
      </c>
      <c r="AH28" s="46">
        <v>0.2986767485822307</v>
      </c>
      <c r="AI28" s="46">
        <v>0.29862842892768093</v>
      </c>
      <c r="AJ28" s="46">
        <v>0.12301383905689392</v>
      </c>
      <c r="AK28" s="48">
        <v>0.24299809038828771</v>
      </c>
      <c r="AL28" s="1"/>
      <c r="AM28" s="47">
        <v>0.25313283208020043</v>
      </c>
      <c r="AN28" s="46">
        <v>0.26207906295754002</v>
      </c>
      <c r="AO28" s="46">
        <v>0.26157278304517556</v>
      </c>
      <c r="AP28" s="46">
        <v>0.21706864564007408</v>
      </c>
      <c r="AQ28" s="48">
        <v>0.24757804090419808</v>
      </c>
      <c r="AR28" s="1"/>
      <c r="AS28" s="47">
        <v>0.24182076813655773</v>
      </c>
      <c r="AT28" s="46">
        <v>0.24084621643612714</v>
      </c>
      <c r="AU28" s="46">
        <v>0.2505910165484635</v>
      </c>
      <c r="AV28" s="46">
        <v>0.24647302904564317</v>
      </c>
      <c r="AW28" s="48">
        <v>0.24593967517401386</v>
      </c>
      <c r="AX28" s="1"/>
      <c r="AY28" s="47">
        <v>0.25591715976331331</v>
      </c>
      <c r="AZ28" s="46">
        <v>0.25625920471281294</v>
      </c>
      <c r="BA28" s="46">
        <v>0.28500707213578486</v>
      </c>
      <c r="BB28" s="46">
        <v>0.19717858287912787</v>
      </c>
      <c r="BC28" s="48">
        <v>0.24434180138568143</v>
      </c>
      <c r="BD28" s="1"/>
      <c r="BE28" s="47">
        <v>0.24381926683716956</v>
      </c>
      <c r="BF28" s="46">
        <v>0.24386084583901765</v>
      </c>
      <c r="BG28" s="46">
        <v>0.24401473296500928</v>
      </c>
      <c r="BH28" s="46">
        <v>0.28440029433406949</v>
      </c>
      <c r="BI28" s="48">
        <v>0.25483582977879188</v>
      </c>
      <c r="BJ28" s="1"/>
      <c r="BK28" s="47">
        <v>0.25496688741721835</v>
      </c>
      <c r="BL28" s="46">
        <v>0.25514254781667262</v>
      </c>
      <c r="BM28" s="46">
        <v>0.25501858736059457</v>
      </c>
      <c r="BN28" s="46">
        <v>0.26884650317892778</v>
      </c>
      <c r="BO28" s="48">
        <v>0.25848269642655841</v>
      </c>
      <c r="BP28" s="96"/>
      <c r="BQ28" s="47">
        <v>0.24487895716946009</v>
      </c>
      <c r="BR28" s="46">
        <v>0.24486571879936822</v>
      </c>
      <c r="BS28" s="46">
        <v>0.24510352546166755</v>
      </c>
      <c r="BT28" s="46">
        <v>0.24753733714648696</v>
      </c>
      <c r="BU28" s="48">
        <v>0.2457635324876534</v>
      </c>
      <c r="BV28" s="1"/>
      <c r="BW28" s="47">
        <v>0.23980978260869559</v>
      </c>
      <c r="BX28" s="71">
        <v>0.24000000000000041</v>
      </c>
      <c r="BY28" s="71">
        <v>0.24029629629629623</v>
      </c>
      <c r="BZ28" s="71">
        <v>0.24202938730246806</v>
      </c>
      <c r="CA28" s="48">
        <v>0.24071125265392809</v>
      </c>
      <c r="CB28" s="1"/>
      <c r="CC28" s="47">
        <v>0.25073746312684403</v>
      </c>
      <c r="CD28" s="71">
        <v>0.25000000000000017</v>
      </c>
      <c r="CE28" s="71">
        <v>0.25006208095356358</v>
      </c>
      <c r="CF28" s="71">
        <v>0.26038843721770599</v>
      </c>
      <c r="CG28" s="48">
        <v>0.25429745889387168</v>
      </c>
    </row>
    <row r="29" spans="1:85" ht="5.25" customHeight="1">
      <c r="A29" s="53"/>
      <c r="B29" s="105"/>
      <c r="C29" s="106"/>
      <c r="D29" s="105"/>
      <c r="E29" s="105"/>
      <c r="F29" s="105"/>
      <c r="G29" s="107"/>
      <c r="H29" s="1"/>
      <c r="I29" s="106"/>
      <c r="J29" s="105"/>
      <c r="K29" s="105"/>
      <c r="L29" s="105"/>
      <c r="M29" s="107"/>
      <c r="N29" s="1"/>
      <c r="O29" s="106"/>
      <c r="P29" s="105"/>
      <c r="Q29" s="105"/>
      <c r="R29" s="105"/>
      <c r="S29" s="107"/>
      <c r="T29" s="1"/>
      <c r="U29" s="106"/>
      <c r="V29" s="105"/>
      <c r="W29" s="105"/>
      <c r="X29" s="105"/>
      <c r="Y29" s="107"/>
      <c r="Z29" s="1"/>
      <c r="AA29" s="106"/>
      <c r="AB29" s="105"/>
      <c r="AC29" s="105"/>
      <c r="AD29" s="105"/>
      <c r="AE29" s="107"/>
      <c r="AF29" s="1"/>
      <c r="AG29" s="106"/>
      <c r="AH29" s="105"/>
      <c r="AI29" s="105"/>
      <c r="AJ29" s="105"/>
      <c r="AK29" s="107"/>
      <c r="AL29" s="1"/>
      <c r="AM29" s="106"/>
      <c r="AN29" s="105"/>
      <c r="AO29" s="105"/>
      <c r="AP29" s="105"/>
      <c r="AQ29" s="107"/>
      <c r="AR29" s="1"/>
      <c r="AS29" s="106"/>
      <c r="AT29" s="105"/>
      <c r="AU29" s="105"/>
      <c r="AV29" s="105"/>
      <c r="AW29" s="107"/>
      <c r="AX29" s="1"/>
      <c r="AY29" s="106"/>
      <c r="AZ29" s="105"/>
      <c r="BA29" s="105"/>
      <c r="BB29" s="105"/>
      <c r="BC29" s="107"/>
      <c r="BD29" s="1"/>
      <c r="BE29" s="106"/>
      <c r="BF29" s="105"/>
      <c r="BG29" s="105"/>
      <c r="BH29" s="105"/>
      <c r="BI29" s="107"/>
      <c r="BJ29" s="1"/>
      <c r="BK29" s="106"/>
      <c r="BL29" s="105"/>
      <c r="BM29" s="105"/>
      <c r="BN29" s="105"/>
      <c r="BO29" s="107"/>
      <c r="BP29" s="96"/>
      <c r="BQ29" s="106"/>
      <c r="BR29" s="105"/>
      <c r="BS29" s="105"/>
      <c r="BT29" s="105"/>
      <c r="BU29" s="107"/>
      <c r="BV29" s="1"/>
      <c r="BW29" s="106"/>
      <c r="BX29" s="105"/>
      <c r="BY29" s="105"/>
      <c r="BZ29" s="105"/>
      <c r="CA29" s="107"/>
      <c r="CB29" s="1"/>
      <c r="CC29" s="106"/>
      <c r="CD29" s="105"/>
      <c r="CE29" s="105"/>
      <c r="CF29" s="105"/>
      <c r="CG29" s="108"/>
    </row>
    <row r="30" spans="1:85" s="55" customFormat="1">
      <c r="A30" s="100" t="s">
        <v>178</v>
      </c>
      <c r="B30" s="101"/>
      <c r="C30" s="102">
        <v>41.300000000000011</v>
      </c>
      <c r="D30" s="103">
        <v>56.8</v>
      </c>
      <c r="E30" s="103">
        <v>69.499999999999943</v>
      </c>
      <c r="F30" s="103">
        <v>79.099999999999994</v>
      </c>
      <c r="G30" s="104">
        <v>246.6999999999999</v>
      </c>
      <c r="H30" s="56"/>
      <c r="I30" s="102">
        <v>43.70000000000001</v>
      </c>
      <c r="J30" s="103">
        <v>64.599999999999966</v>
      </c>
      <c r="K30" s="103">
        <v>56.300000000000033</v>
      </c>
      <c r="L30" s="103">
        <v>89.200000000000102</v>
      </c>
      <c r="M30" s="104">
        <v>253.80000000000007</v>
      </c>
      <c r="N30" s="56"/>
      <c r="O30" s="102">
        <v>87.899999999999963</v>
      </c>
      <c r="P30" s="103">
        <v>57.6</v>
      </c>
      <c r="Q30" s="103">
        <v>107.7</v>
      </c>
      <c r="R30" s="103">
        <v>93.100000000000037</v>
      </c>
      <c r="S30" s="104">
        <v>346.3</v>
      </c>
      <c r="T30" s="56"/>
      <c r="U30" s="102">
        <v>49.799999999999969</v>
      </c>
      <c r="V30" s="103">
        <v>66.5</v>
      </c>
      <c r="W30" s="103">
        <v>-122.89999999999993</v>
      </c>
      <c r="X30" s="103">
        <v>86.180000000000035</v>
      </c>
      <c r="Y30" s="104">
        <v>79.579999999999927</v>
      </c>
      <c r="Z30" s="56"/>
      <c r="AA30" s="102">
        <v>69.8</v>
      </c>
      <c r="AB30" s="103">
        <v>111.50000000000007</v>
      </c>
      <c r="AC30" s="103">
        <v>126.99999999999994</v>
      </c>
      <c r="AD30" s="103">
        <v>127.60000000000005</v>
      </c>
      <c r="AE30" s="104">
        <v>435.89999999999986</v>
      </c>
      <c r="AF30" s="56"/>
      <c r="AG30" s="102">
        <v>80.799999999999955</v>
      </c>
      <c r="AH30" s="103">
        <v>111.29999999999995</v>
      </c>
      <c r="AI30" s="103">
        <v>112.4999999999999</v>
      </c>
      <c r="AJ30" s="103">
        <v>171.09999999999997</v>
      </c>
      <c r="AK30" s="104">
        <v>475.7</v>
      </c>
      <c r="AL30" s="56"/>
      <c r="AM30" s="102">
        <v>59.600000000000009</v>
      </c>
      <c r="AN30" s="103">
        <v>100.80000000000011</v>
      </c>
      <c r="AO30" s="103">
        <v>132.40000000000006</v>
      </c>
      <c r="AP30" s="103">
        <v>126.60000000000011</v>
      </c>
      <c r="AQ30" s="104">
        <v>419.4</v>
      </c>
      <c r="AR30" s="56"/>
      <c r="AS30" s="102">
        <v>53.299999999999969</v>
      </c>
      <c r="AT30" s="103">
        <v>93.299999999999898</v>
      </c>
      <c r="AU30" s="103">
        <v>126.7999999999999</v>
      </c>
      <c r="AV30" s="103">
        <v>181.6</v>
      </c>
      <c r="AW30" s="104">
        <v>455.00000000000023</v>
      </c>
      <c r="AX30" s="56"/>
      <c r="AY30" s="102">
        <v>50.300000000000082</v>
      </c>
      <c r="AZ30" s="103">
        <v>151.50000000000006</v>
      </c>
      <c r="BA30" s="103">
        <v>202.20000000000013</v>
      </c>
      <c r="BB30" s="103">
        <v>250.40000000000009</v>
      </c>
      <c r="BC30" s="104">
        <v>654.39999999999952</v>
      </c>
      <c r="BD30" s="56"/>
      <c r="BE30" s="102">
        <v>88.700000000000045</v>
      </c>
      <c r="BF30" s="103">
        <v>221.7000000000001</v>
      </c>
      <c r="BG30" s="103">
        <v>246.2999999999999</v>
      </c>
      <c r="BH30" s="103">
        <v>194.49999999999963</v>
      </c>
      <c r="BI30" s="104">
        <v>751.19999999999959</v>
      </c>
      <c r="BJ30" s="56"/>
      <c r="BK30" s="102">
        <v>90.000000000000099</v>
      </c>
      <c r="BL30" s="103">
        <v>206.40000000000009</v>
      </c>
      <c r="BM30" s="103">
        <v>200.40000000000023</v>
      </c>
      <c r="BN30" s="103">
        <v>161.00000000000043</v>
      </c>
      <c r="BO30" s="104">
        <v>657.80000000000018</v>
      </c>
      <c r="BP30" s="56"/>
      <c r="BQ30" s="102">
        <v>81.099999999999952</v>
      </c>
      <c r="BR30" s="103">
        <v>191.19999999999987</v>
      </c>
      <c r="BS30" s="103">
        <v>269.80000000000007</v>
      </c>
      <c r="BT30" s="103">
        <v>236.80000000000229</v>
      </c>
      <c r="BU30" s="104">
        <v>778.90000000000146</v>
      </c>
      <c r="BV30" s="56"/>
      <c r="BW30" s="102">
        <v>111.90000000000002</v>
      </c>
      <c r="BX30" s="103">
        <v>216.59999999999954</v>
      </c>
      <c r="BY30" s="103">
        <v>256.40000000000009</v>
      </c>
      <c r="BZ30" s="103">
        <v>273.39999999999901</v>
      </c>
      <c r="CA30" s="104">
        <v>858.2999999999987</v>
      </c>
      <c r="CB30" s="56"/>
      <c r="CC30" s="102">
        <v>-25.399999999999949</v>
      </c>
      <c r="CD30" s="103">
        <v>194.09999999999985</v>
      </c>
      <c r="CE30" s="103">
        <v>301.99999999999977</v>
      </c>
      <c r="CF30" s="103">
        <v>327.4999999999992</v>
      </c>
      <c r="CG30" s="104">
        <v>798.19999999999891</v>
      </c>
    </row>
    <row r="31" spans="1:85">
      <c r="A31" s="54" t="s">
        <v>106</v>
      </c>
      <c r="B31" s="46"/>
      <c r="C31" s="47">
        <v>6.9423432509665511E-2</v>
      </c>
      <c r="D31" s="46">
        <v>8.5787645370789908E-2</v>
      </c>
      <c r="E31" s="46">
        <v>0.10871265446582191</v>
      </c>
      <c r="F31" s="46">
        <v>0.10847504114097639</v>
      </c>
      <c r="G31" s="48">
        <v>9.3963054656255915E-2</v>
      </c>
      <c r="H31" s="1"/>
      <c r="I31" s="47">
        <v>7.2627555260096399E-2</v>
      </c>
      <c r="J31" s="46">
        <v>9.7303810814881708E-2</v>
      </c>
      <c r="K31" s="46">
        <v>8.6230663194976312E-2</v>
      </c>
      <c r="L31" s="46">
        <v>0.10379334419362357</v>
      </c>
      <c r="M31" s="48">
        <v>9.1363979984880689E-2</v>
      </c>
      <c r="N31" s="1"/>
      <c r="O31" s="47">
        <v>0.14519326065411292</v>
      </c>
      <c r="P31" s="46">
        <v>8.5829235583370592E-2</v>
      </c>
      <c r="Q31" s="46">
        <v>0.15092488789237668</v>
      </c>
      <c r="R31" s="46">
        <v>0.12393503727369547</v>
      </c>
      <c r="S31" s="48">
        <v>0.12632692518148322</v>
      </c>
      <c r="T31" s="1"/>
      <c r="U31" s="47">
        <v>8.4794823769793928E-2</v>
      </c>
      <c r="V31" s="46">
        <v>9.2169092169092165E-2</v>
      </c>
      <c r="W31" s="46">
        <v>-0.1570005109862033</v>
      </c>
      <c r="X31" s="46">
        <v>0.10969959266802448</v>
      </c>
      <c r="Y31" s="48">
        <v>2.7658834978451247E-2</v>
      </c>
      <c r="Z31" s="1"/>
      <c r="AA31" s="47">
        <v>9.3565683646112591E-2</v>
      </c>
      <c r="AB31" s="46">
        <v>0.1232180351420047</v>
      </c>
      <c r="AC31" s="46">
        <v>0.12972420837589371</v>
      </c>
      <c r="AD31" s="46">
        <v>0.14403431538548372</v>
      </c>
      <c r="AE31" s="48">
        <v>0.12398316172706066</v>
      </c>
      <c r="AF31" s="1"/>
      <c r="AG31" s="47">
        <v>0.10126582278481007</v>
      </c>
      <c r="AH31" s="46">
        <v>0.12290194346289747</v>
      </c>
      <c r="AI31" s="46">
        <v>0.10607203469734104</v>
      </c>
      <c r="AJ31" s="46">
        <v>0.1496937882764654</v>
      </c>
      <c r="AK31" s="48">
        <v>0.12175270661104144</v>
      </c>
      <c r="AL31" s="1"/>
      <c r="AM31" s="47">
        <v>6.3886804587844362E-2</v>
      </c>
      <c r="AN31" s="46">
        <v>8.9266737513283831E-2</v>
      </c>
      <c r="AO31" s="46">
        <v>0.11128856014121212</v>
      </c>
      <c r="AP31" s="46">
        <v>0.10827916524119065</v>
      </c>
      <c r="AQ31" s="48">
        <v>9.4865415064465053E-2</v>
      </c>
      <c r="AR31" s="1"/>
      <c r="AS31" s="47">
        <v>5.216284987277351E-2</v>
      </c>
      <c r="AT31" s="46">
        <v>8.1921151988761001E-2</v>
      </c>
      <c r="AU31" s="46">
        <v>0.10675197844755001</v>
      </c>
      <c r="AV31" s="46">
        <v>0.12966797572295607</v>
      </c>
      <c r="AW31" s="48">
        <v>9.5809644135607538E-2</v>
      </c>
      <c r="AX31" s="1"/>
      <c r="AY31" s="47">
        <v>4.5442226036679086E-2</v>
      </c>
      <c r="AZ31" s="46">
        <v>0.10292119565217395</v>
      </c>
      <c r="BA31" s="46">
        <v>0.11564859299931372</v>
      </c>
      <c r="BB31" s="46">
        <v>0.13791584049350084</v>
      </c>
      <c r="BC31" s="48">
        <v>0.10652948932914415</v>
      </c>
      <c r="BD31" s="1"/>
      <c r="BE31" s="47">
        <v>6.5244575211474837E-2</v>
      </c>
      <c r="BF31" s="46">
        <v>0.12526131419854233</v>
      </c>
      <c r="BG31" s="46">
        <v>0.14364866441152449</v>
      </c>
      <c r="BH31" s="46">
        <v>0.11014213715385904</v>
      </c>
      <c r="BI31" s="48">
        <v>0.11364771025280256</v>
      </c>
      <c r="BJ31" s="1"/>
      <c r="BK31" s="47">
        <v>5.7555797147790556E-2</v>
      </c>
      <c r="BL31" s="46">
        <v>0.10466531440162276</v>
      </c>
      <c r="BM31" s="46">
        <v>0.10800905465128825</v>
      </c>
      <c r="BN31" s="46">
        <v>7.8882900538951681E-2</v>
      </c>
      <c r="BO31" s="48">
        <v>8.8507958719608204E-2</v>
      </c>
      <c r="BP31" s="96"/>
      <c r="BQ31" s="47">
        <v>4.6231900581461607E-2</v>
      </c>
      <c r="BR31" s="46">
        <v>8.9870740305522862E-2</v>
      </c>
      <c r="BS31" s="46">
        <v>0.12007654991321379</v>
      </c>
      <c r="BT31" s="46">
        <v>9.5979247730221359E-2</v>
      </c>
      <c r="BU31" s="48">
        <v>9.0614020800856385E-2</v>
      </c>
      <c r="BV31" s="1"/>
      <c r="BW31" s="47">
        <v>5.3785147801009382E-2</v>
      </c>
      <c r="BX31" s="71">
        <v>9.3414413248803022E-2</v>
      </c>
      <c r="BY31" s="71">
        <v>0.10781263140190064</v>
      </c>
      <c r="BZ31" s="71">
        <v>0.10642687531628287</v>
      </c>
      <c r="CA31" s="48">
        <v>9.1833131827567999E-2</v>
      </c>
      <c r="CB31" s="1"/>
      <c r="CC31" s="47">
        <v>-1.1033883579496069E-2</v>
      </c>
      <c r="CD31" s="71">
        <v>8.3692652638840917E-2</v>
      </c>
      <c r="CE31" s="71">
        <v>0.11713598634706376</v>
      </c>
      <c r="CF31" s="71">
        <v>0.11944272219993408</v>
      </c>
      <c r="CG31" s="48">
        <v>8.0291309989639084E-2</v>
      </c>
    </row>
    <row r="32" spans="1:85" ht="5.25" customHeight="1">
      <c r="A32" s="53"/>
      <c r="B32" s="46"/>
      <c r="C32" s="47"/>
      <c r="D32" s="46"/>
      <c r="E32" s="46"/>
      <c r="F32" s="46"/>
      <c r="G32" s="48"/>
      <c r="H32" s="1"/>
      <c r="I32" s="47"/>
      <c r="J32" s="46"/>
      <c r="K32" s="46"/>
      <c r="L32" s="46"/>
      <c r="M32" s="48"/>
      <c r="N32" s="1"/>
      <c r="O32" s="47"/>
      <c r="P32" s="46"/>
      <c r="Q32" s="46"/>
      <c r="R32" s="46"/>
      <c r="S32" s="48"/>
      <c r="T32" s="1"/>
      <c r="U32" s="47"/>
      <c r="V32" s="46"/>
      <c r="W32" s="46"/>
      <c r="X32" s="46"/>
      <c r="Y32" s="48"/>
      <c r="Z32" s="1"/>
      <c r="AA32" s="47"/>
      <c r="AB32" s="46"/>
      <c r="AC32" s="46"/>
      <c r="AD32" s="46"/>
      <c r="AE32" s="48"/>
      <c r="AF32" s="1"/>
      <c r="AG32" s="47"/>
      <c r="AH32" s="46"/>
      <c r="AI32" s="46"/>
      <c r="AJ32" s="46"/>
      <c r="AK32" s="48"/>
      <c r="AL32" s="1"/>
      <c r="AM32" s="47"/>
      <c r="AN32" s="46"/>
      <c r="AO32" s="46"/>
      <c r="AP32" s="46"/>
      <c r="AQ32" s="48"/>
      <c r="AR32" s="1"/>
      <c r="AS32" s="47"/>
      <c r="AT32" s="46"/>
      <c r="AU32" s="46"/>
      <c r="AV32" s="46"/>
      <c r="AW32" s="48"/>
      <c r="AX32" s="1"/>
      <c r="AY32" s="47"/>
      <c r="AZ32" s="46"/>
      <c r="BA32" s="46"/>
      <c r="BB32" s="46"/>
      <c r="BC32" s="48"/>
      <c r="BD32" s="1"/>
      <c r="BE32" s="47"/>
      <c r="BF32" s="46"/>
      <c r="BG32" s="46"/>
      <c r="BH32" s="46"/>
      <c r="BI32" s="48"/>
      <c r="BJ32" s="1"/>
      <c r="BK32" s="47"/>
      <c r="BL32" s="46"/>
      <c r="BM32" s="46"/>
      <c r="BN32" s="46"/>
      <c r="BO32" s="48"/>
      <c r="BP32" s="96"/>
      <c r="BQ32" s="47"/>
      <c r="BR32" s="46"/>
      <c r="BS32" s="46"/>
      <c r="BT32" s="46"/>
      <c r="BU32" s="48"/>
      <c r="BV32" s="1"/>
      <c r="BW32" s="47"/>
      <c r="BX32" s="71"/>
      <c r="BY32" s="71"/>
      <c r="BZ32" s="71"/>
      <c r="CA32" s="48"/>
      <c r="CB32" s="1"/>
      <c r="CC32" s="47"/>
      <c r="CD32" s="71"/>
      <c r="CE32" s="71"/>
      <c r="CF32" s="71"/>
      <c r="CG32" s="48"/>
    </row>
    <row r="33" spans="1:85" s="55" customFormat="1">
      <c r="A33" s="109" t="s">
        <v>179</v>
      </c>
      <c r="B33" s="101"/>
      <c r="C33" s="110">
        <v>5</v>
      </c>
      <c r="D33" s="101">
        <v>14</v>
      </c>
      <c r="E33" s="101">
        <v>13</v>
      </c>
      <c r="F33" s="101">
        <v>13</v>
      </c>
      <c r="G33" s="81">
        <v>45</v>
      </c>
      <c r="H33" s="56"/>
      <c r="I33" s="110">
        <v>9</v>
      </c>
      <c r="J33" s="101">
        <v>12</v>
      </c>
      <c r="K33" s="101">
        <v>15</v>
      </c>
      <c r="L33" s="101">
        <v>2</v>
      </c>
      <c r="M33" s="81">
        <v>38</v>
      </c>
      <c r="N33" s="56"/>
      <c r="O33" s="110">
        <v>-11</v>
      </c>
      <c r="P33" s="101">
        <v>-8</v>
      </c>
      <c r="Q33" s="101">
        <v>-14</v>
      </c>
      <c r="R33" s="101">
        <v>-45</v>
      </c>
      <c r="S33" s="81">
        <v>-78</v>
      </c>
      <c r="T33" s="56"/>
      <c r="U33" s="110">
        <v>6</v>
      </c>
      <c r="V33" s="101">
        <v>11</v>
      </c>
      <c r="W33" s="101">
        <v>13</v>
      </c>
      <c r="X33" s="101">
        <v>3.9</v>
      </c>
      <c r="Y33" s="81">
        <v>33.9</v>
      </c>
      <c r="Z33" s="56"/>
      <c r="AA33" s="110">
        <v>2</v>
      </c>
      <c r="AB33" s="101">
        <v>6</v>
      </c>
      <c r="AC33" s="101">
        <v>12.879999999999999</v>
      </c>
      <c r="AD33" s="101">
        <v>-38.299999999999997</v>
      </c>
      <c r="AE33" s="81">
        <v>-17.419999999999998</v>
      </c>
      <c r="AF33" s="56"/>
      <c r="AG33" s="110">
        <v>-1</v>
      </c>
      <c r="AH33" s="101">
        <v>2</v>
      </c>
      <c r="AI33" s="101">
        <v>2</v>
      </c>
      <c r="AJ33" s="101">
        <v>-1</v>
      </c>
      <c r="AK33" s="81">
        <v>2</v>
      </c>
      <c r="AL33" s="56"/>
      <c r="AM33" s="110">
        <v>-2</v>
      </c>
      <c r="AN33" s="101">
        <v>1</v>
      </c>
      <c r="AO33" s="101">
        <v>1</v>
      </c>
      <c r="AP33" s="101">
        <v>-6.9999999999999991</v>
      </c>
      <c r="AQ33" s="81">
        <v>-6.9999999999999991</v>
      </c>
      <c r="AR33" s="56"/>
      <c r="AS33" s="110">
        <v>-1</v>
      </c>
      <c r="AT33" s="101">
        <v>-2</v>
      </c>
      <c r="AU33" s="101">
        <v>4</v>
      </c>
      <c r="AV33" s="101">
        <v>-61.7</v>
      </c>
      <c r="AW33" s="81">
        <v>-60.7</v>
      </c>
      <c r="AX33" s="56"/>
      <c r="AY33" s="110">
        <v>-1.2</v>
      </c>
      <c r="AZ33" s="101">
        <v>-1.8</v>
      </c>
      <c r="BA33" s="101">
        <v>-1.1000000000000001</v>
      </c>
      <c r="BB33" s="101">
        <v>-2.5999999999999996</v>
      </c>
      <c r="BC33" s="81">
        <v>-6.7</v>
      </c>
      <c r="BD33" s="56"/>
      <c r="BE33" s="110">
        <v>-2.1</v>
      </c>
      <c r="BF33" s="101">
        <v>-2.9</v>
      </c>
      <c r="BG33" s="101">
        <v>-2.8</v>
      </c>
      <c r="BH33" s="101">
        <v>-5.1000000000000005</v>
      </c>
      <c r="BI33" s="81">
        <v>-12.9</v>
      </c>
      <c r="BJ33" s="56"/>
      <c r="BK33" s="110">
        <v>0</v>
      </c>
      <c r="BL33" s="101">
        <v>0</v>
      </c>
      <c r="BM33" s="101">
        <v>0</v>
      </c>
      <c r="BN33" s="101">
        <v>0</v>
      </c>
      <c r="BO33" s="81">
        <v>0</v>
      </c>
      <c r="BP33" s="56"/>
      <c r="BQ33" s="110">
        <v>0</v>
      </c>
      <c r="BR33" s="101">
        <v>0</v>
      </c>
      <c r="BS33" s="101">
        <v>0</v>
      </c>
      <c r="BT33" s="101">
        <v>0</v>
      </c>
      <c r="BU33" s="81">
        <v>0</v>
      </c>
      <c r="BV33" s="56"/>
      <c r="BW33" s="110">
        <v>0</v>
      </c>
      <c r="BX33" s="101">
        <v>0</v>
      </c>
      <c r="BY33" s="101">
        <v>0</v>
      </c>
      <c r="BZ33" s="101">
        <v>0</v>
      </c>
      <c r="CA33" s="81">
        <v>0</v>
      </c>
      <c r="CB33" s="56"/>
      <c r="CC33" s="110">
        <v>0</v>
      </c>
      <c r="CD33" s="101">
        <v>0</v>
      </c>
      <c r="CE33" s="101">
        <v>0</v>
      </c>
      <c r="CF33" s="101">
        <v>0</v>
      </c>
      <c r="CG33" s="81">
        <v>0</v>
      </c>
    </row>
    <row r="34" spans="1:85" ht="5.25" customHeight="1">
      <c r="A34" s="53"/>
      <c r="B34" s="105"/>
      <c r="C34" s="106"/>
      <c r="D34" s="105"/>
      <c r="E34" s="105"/>
      <c r="F34" s="105"/>
      <c r="G34" s="108"/>
      <c r="H34" s="1"/>
      <c r="I34" s="106"/>
      <c r="J34" s="105"/>
      <c r="K34" s="105"/>
      <c r="L34" s="105"/>
      <c r="M34" s="108"/>
      <c r="N34" s="1"/>
      <c r="O34" s="106"/>
      <c r="P34" s="105"/>
      <c r="Q34" s="105"/>
      <c r="R34" s="105"/>
      <c r="S34" s="108"/>
      <c r="T34" s="1"/>
      <c r="U34" s="106"/>
      <c r="V34" s="105"/>
      <c r="W34" s="105"/>
      <c r="X34" s="105"/>
      <c r="Y34" s="108"/>
      <c r="Z34" s="1"/>
      <c r="AA34" s="106"/>
      <c r="AB34" s="105"/>
      <c r="AC34" s="105"/>
      <c r="AD34" s="105"/>
      <c r="AE34" s="108"/>
      <c r="AF34" s="1"/>
      <c r="AG34" s="106"/>
      <c r="AH34" s="105"/>
      <c r="AI34" s="105"/>
      <c r="AJ34" s="105"/>
      <c r="AK34" s="108"/>
      <c r="AL34" s="1"/>
      <c r="AM34" s="106"/>
      <c r="AN34" s="105"/>
      <c r="AO34" s="105"/>
      <c r="AP34" s="105"/>
      <c r="AQ34" s="108"/>
      <c r="AR34" s="1"/>
      <c r="AS34" s="106"/>
      <c r="AT34" s="105"/>
      <c r="AU34" s="105"/>
      <c r="AV34" s="105"/>
      <c r="AW34" s="108"/>
      <c r="AX34" s="1"/>
      <c r="AY34" s="106"/>
      <c r="AZ34" s="105"/>
      <c r="BA34" s="105"/>
      <c r="BB34" s="105"/>
      <c r="BC34" s="108"/>
      <c r="BD34" s="1"/>
      <c r="BE34" s="106"/>
      <c r="BF34" s="105"/>
      <c r="BG34" s="105"/>
      <c r="BH34" s="105"/>
      <c r="BI34" s="108"/>
      <c r="BJ34" s="1"/>
      <c r="BK34" s="106"/>
      <c r="BL34" s="105"/>
      <c r="BM34" s="105"/>
      <c r="BN34" s="105"/>
      <c r="BO34" s="108"/>
      <c r="BP34" s="96"/>
      <c r="BQ34" s="106"/>
      <c r="BR34" s="105"/>
      <c r="BS34" s="105"/>
      <c r="BT34" s="105"/>
      <c r="BU34" s="108"/>
      <c r="BV34" s="1"/>
      <c r="BW34" s="106"/>
      <c r="BX34" s="105"/>
      <c r="BY34" s="105"/>
      <c r="BZ34" s="105"/>
      <c r="CA34" s="108"/>
      <c r="CB34" s="1"/>
      <c r="CC34" s="106"/>
      <c r="CD34" s="105"/>
      <c r="CE34" s="105"/>
      <c r="CF34" s="105"/>
      <c r="CG34" s="108"/>
    </row>
    <row r="35" spans="1:85" s="55" customFormat="1">
      <c r="A35" s="100" t="s">
        <v>108</v>
      </c>
      <c r="B35" s="101"/>
      <c r="C35" s="102">
        <v>46.300000000000011</v>
      </c>
      <c r="D35" s="103">
        <v>70.8</v>
      </c>
      <c r="E35" s="103">
        <v>82.499999999999943</v>
      </c>
      <c r="F35" s="103">
        <v>92.1</v>
      </c>
      <c r="G35" s="104">
        <v>291.69999999999993</v>
      </c>
      <c r="H35" s="56"/>
      <c r="I35" s="102">
        <v>52.70000000000001</v>
      </c>
      <c r="J35" s="103">
        <v>76.599999999999966</v>
      </c>
      <c r="K35" s="103">
        <v>71.30000000000004</v>
      </c>
      <c r="L35" s="103">
        <v>91.200000000000102</v>
      </c>
      <c r="M35" s="104">
        <v>291.80000000000007</v>
      </c>
      <c r="N35" s="56"/>
      <c r="O35" s="102">
        <v>76.899999999999963</v>
      </c>
      <c r="P35" s="103">
        <v>49.6</v>
      </c>
      <c r="Q35" s="103">
        <v>93.7</v>
      </c>
      <c r="R35" s="103">
        <v>48.100000000000037</v>
      </c>
      <c r="S35" s="104">
        <v>268.3</v>
      </c>
      <c r="T35" s="56"/>
      <c r="U35" s="102">
        <v>55.799999999999969</v>
      </c>
      <c r="V35" s="103">
        <v>77.5</v>
      </c>
      <c r="W35" s="103">
        <v>-109.89999999999993</v>
      </c>
      <c r="X35" s="103">
        <v>90.080000000000041</v>
      </c>
      <c r="Y35" s="104">
        <v>113.47999999999993</v>
      </c>
      <c r="Z35" s="56"/>
      <c r="AA35" s="102">
        <v>71.8</v>
      </c>
      <c r="AB35" s="103">
        <v>117.50000000000007</v>
      </c>
      <c r="AC35" s="103">
        <v>139.87999999999994</v>
      </c>
      <c r="AD35" s="103">
        <v>89.300000000000054</v>
      </c>
      <c r="AE35" s="104">
        <v>418.47999999999985</v>
      </c>
      <c r="AF35" s="56"/>
      <c r="AG35" s="102">
        <v>79.799999999999955</v>
      </c>
      <c r="AH35" s="103">
        <v>113.29999999999995</v>
      </c>
      <c r="AI35" s="103">
        <v>114.4999999999999</v>
      </c>
      <c r="AJ35" s="103">
        <v>170.09999999999997</v>
      </c>
      <c r="AK35" s="104">
        <v>477.7</v>
      </c>
      <c r="AL35" s="56"/>
      <c r="AM35" s="102">
        <v>57.600000000000009</v>
      </c>
      <c r="AN35" s="103">
        <v>101.80000000000011</v>
      </c>
      <c r="AO35" s="103">
        <v>133.40000000000006</v>
      </c>
      <c r="AP35" s="103">
        <v>119.60000000000011</v>
      </c>
      <c r="AQ35" s="104">
        <v>412.4</v>
      </c>
      <c r="AR35" s="56"/>
      <c r="AS35" s="102">
        <v>52.299999999999969</v>
      </c>
      <c r="AT35" s="103">
        <v>91.299999999999898</v>
      </c>
      <c r="AU35" s="103">
        <v>130.7999999999999</v>
      </c>
      <c r="AV35" s="103">
        <v>119.89999999999999</v>
      </c>
      <c r="AW35" s="104">
        <v>394.30000000000024</v>
      </c>
      <c r="AX35" s="56"/>
      <c r="AY35" s="102">
        <v>49.10000000000008</v>
      </c>
      <c r="AZ35" s="103">
        <v>149.70000000000005</v>
      </c>
      <c r="BA35" s="103">
        <v>201.10000000000014</v>
      </c>
      <c r="BB35" s="103">
        <v>247.8000000000001</v>
      </c>
      <c r="BC35" s="104">
        <v>647.69999999999948</v>
      </c>
      <c r="BD35" s="56"/>
      <c r="BE35" s="102">
        <v>86.600000000000051</v>
      </c>
      <c r="BF35" s="103">
        <v>218.8000000000001</v>
      </c>
      <c r="BG35" s="103">
        <v>243.49999999999989</v>
      </c>
      <c r="BH35" s="103">
        <v>189.39999999999964</v>
      </c>
      <c r="BI35" s="104">
        <v>738.29999999999961</v>
      </c>
      <c r="BJ35" s="56"/>
      <c r="BK35" s="102">
        <v>90.000000000000099</v>
      </c>
      <c r="BL35" s="103">
        <v>206.40000000000009</v>
      </c>
      <c r="BM35" s="103">
        <v>200.40000000000023</v>
      </c>
      <c r="BN35" s="103">
        <v>161.00000000000043</v>
      </c>
      <c r="BO35" s="104">
        <v>657.80000000000018</v>
      </c>
      <c r="BP35" s="56"/>
      <c r="BQ35" s="102">
        <v>81.099999999999952</v>
      </c>
      <c r="BR35" s="103">
        <v>191.19999999999987</v>
      </c>
      <c r="BS35" s="103">
        <v>269.80000000000007</v>
      </c>
      <c r="BT35" s="103">
        <v>236.80000000000229</v>
      </c>
      <c r="BU35" s="104">
        <v>778.90000000000146</v>
      </c>
      <c r="BV35" s="56"/>
      <c r="BW35" s="102">
        <v>111.90000000000002</v>
      </c>
      <c r="BX35" s="103">
        <v>216.59999999999954</v>
      </c>
      <c r="BY35" s="103">
        <v>256.40000000000009</v>
      </c>
      <c r="BZ35" s="103">
        <v>273.39999999999901</v>
      </c>
      <c r="CA35" s="104">
        <v>858.2999999999987</v>
      </c>
      <c r="CB35" s="56"/>
      <c r="CC35" s="102">
        <v>-25.399999999999949</v>
      </c>
      <c r="CD35" s="103">
        <v>194.09999999999985</v>
      </c>
      <c r="CE35" s="103">
        <v>301.99999999999977</v>
      </c>
      <c r="CF35" s="103">
        <v>327.4999999999992</v>
      </c>
      <c r="CG35" s="104">
        <v>798.19999999999891</v>
      </c>
    </row>
    <row r="36" spans="1:85">
      <c r="A36" s="54" t="s">
        <v>106</v>
      </c>
      <c r="B36" s="46"/>
      <c r="C36" s="47">
        <v>7.7828206421247284E-2</v>
      </c>
      <c r="D36" s="46">
        <v>0.10693248753964657</v>
      </c>
      <c r="E36" s="46">
        <v>0.12904739558892531</v>
      </c>
      <c r="F36" s="46">
        <v>0.12630279758639604</v>
      </c>
      <c r="G36" s="48">
        <v>0.11110264711483524</v>
      </c>
      <c r="H36" s="1"/>
      <c r="I36" s="47">
        <v>8.7585175336546459E-2</v>
      </c>
      <c r="J36" s="46">
        <v>0.11537882211176377</v>
      </c>
      <c r="K36" s="46">
        <v>0.10920508500536076</v>
      </c>
      <c r="L36" s="46">
        <v>0.10612054922038643</v>
      </c>
      <c r="M36" s="48">
        <v>0.10504337809136401</v>
      </c>
      <c r="N36" s="1"/>
      <c r="O36" s="47">
        <v>0.12702345556656749</v>
      </c>
      <c r="P36" s="46">
        <v>7.3908508419013558E-2</v>
      </c>
      <c r="Q36" s="46">
        <v>0.13130605381165919</v>
      </c>
      <c r="R36" s="46">
        <v>6.4030883919062878E-2</v>
      </c>
      <c r="S36" s="48">
        <v>9.7873271805347828E-2</v>
      </c>
      <c r="T36" s="1"/>
      <c r="U36" s="47">
        <v>9.5011067597479945E-2</v>
      </c>
      <c r="V36" s="46">
        <v>0.10741510741510742</v>
      </c>
      <c r="W36" s="46">
        <v>-0.14039345937659675</v>
      </c>
      <c r="X36" s="46">
        <v>0.11466395112016298</v>
      </c>
      <c r="Y36" s="48">
        <v>3.9441123314333359E-2</v>
      </c>
      <c r="Z36" s="1"/>
      <c r="AA36" s="47">
        <v>9.6246648793565676E-2</v>
      </c>
      <c r="AB36" s="46">
        <v>0.1298486020554758</v>
      </c>
      <c r="AC36" s="46">
        <v>0.14288049029622057</v>
      </c>
      <c r="AD36" s="46">
        <v>0.10080144485833621</v>
      </c>
      <c r="AE36" s="48">
        <v>0.11902838614255641</v>
      </c>
      <c r="AF36" s="1"/>
      <c r="AG36" s="47">
        <v>0.10001253289885945</v>
      </c>
      <c r="AH36" s="46">
        <v>0.1251104240282685</v>
      </c>
      <c r="AI36" s="46">
        <v>0.10795775975862711</v>
      </c>
      <c r="AJ36" s="46">
        <v>0.14881889763779524</v>
      </c>
      <c r="AK36" s="48">
        <v>0.12226459522407924</v>
      </c>
      <c r="AL36" s="1"/>
      <c r="AM36" s="47">
        <v>6.1742952084896573E-2</v>
      </c>
      <c r="AN36" s="46">
        <v>9.015232022670927E-2</v>
      </c>
      <c r="AO36" s="46">
        <v>0.11212910817853246</v>
      </c>
      <c r="AP36" s="46">
        <v>0.10229216558330491</v>
      </c>
      <c r="AQ36" s="48">
        <v>9.3282062881700961E-2</v>
      </c>
      <c r="AR36" s="1"/>
      <c r="AS36" s="47">
        <v>5.1184184771971002E-2</v>
      </c>
      <c r="AT36" s="46">
        <v>8.0165071560277384E-2</v>
      </c>
      <c r="AU36" s="46">
        <v>0.11011954874557998</v>
      </c>
      <c r="AV36" s="46">
        <v>8.5612281328097103E-2</v>
      </c>
      <c r="AW36" s="48">
        <v>8.3028005895978155E-2</v>
      </c>
      <c r="AX36" s="1"/>
      <c r="AY36" s="47">
        <v>4.4358117264432263E-2</v>
      </c>
      <c r="AZ36" s="46">
        <v>0.10169836956521743</v>
      </c>
      <c r="BA36" s="46">
        <v>0.11501944635094952</v>
      </c>
      <c r="BB36" s="46">
        <v>0.1364838070059485</v>
      </c>
      <c r="BC36" s="48">
        <v>0.1054387992641911</v>
      </c>
      <c r="BD36" s="1"/>
      <c r="BE36" s="47">
        <v>6.3699889665318171E-2</v>
      </c>
      <c r="BF36" s="46">
        <v>0.12362280354822311</v>
      </c>
      <c r="BG36" s="46">
        <v>0.14201563046774751</v>
      </c>
      <c r="BH36" s="46">
        <v>0.10725409139815373</v>
      </c>
      <c r="BI36" s="48">
        <v>0.11169609222529836</v>
      </c>
      <c r="BJ36" s="1"/>
      <c r="BK36" s="47">
        <v>5.7555797147790556E-2</v>
      </c>
      <c r="BL36" s="46">
        <v>0.10466531440162276</v>
      </c>
      <c r="BM36" s="46">
        <v>0.10800905465128825</v>
      </c>
      <c r="BN36" s="46">
        <v>7.8882900538951681E-2</v>
      </c>
      <c r="BO36" s="48">
        <v>8.8507958719608204E-2</v>
      </c>
      <c r="BP36" s="96"/>
      <c r="BQ36" s="47">
        <v>4.6231900581461607E-2</v>
      </c>
      <c r="BR36" s="46">
        <v>8.9870740305522862E-2</v>
      </c>
      <c r="BS36" s="46">
        <v>0.12007654991321379</v>
      </c>
      <c r="BT36" s="46">
        <v>9.5979247730221359E-2</v>
      </c>
      <c r="BU36" s="48">
        <v>9.0614020800856385E-2</v>
      </c>
      <c r="BV36" s="1"/>
      <c r="BW36" s="47">
        <v>5.3785147801009382E-2</v>
      </c>
      <c r="BX36" s="71">
        <v>9.3414413248803022E-2</v>
      </c>
      <c r="BY36" s="71">
        <v>0.10781263140190064</v>
      </c>
      <c r="BZ36" s="71">
        <v>0.10642687531628287</v>
      </c>
      <c r="CA36" s="48">
        <v>9.1833131827567999E-2</v>
      </c>
      <c r="CB36" s="1"/>
      <c r="CC36" s="47">
        <v>-1.1033883579496069E-2</v>
      </c>
      <c r="CD36" s="71">
        <v>8.3692652638840917E-2</v>
      </c>
      <c r="CE36" s="71">
        <v>0.11713598634706376</v>
      </c>
      <c r="CF36" s="71">
        <v>0.11944272219993408</v>
      </c>
      <c r="CG36" s="48">
        <v>8.0291309989639084E-2</v>
      </c>
    </row>
    <row r="37" spans="1:85" ht="5.25" customHeight="1">
      <c r="A37" s="53"/>
      <c r="B37" s="105"/>
      <c r="C37" s="106"/>
      <c r="D37" s="105"/>
      <c r="E37" s="105"/>
      <c r="F37" s="105"/>
      <c r="G37" s="107"/>
      <c r="H37" s="1"/>
      <c r="I37" s="106"/>
      <c r="J37" s="105"/>
      <c r="K37" s="105"/>
      <c r="L37" s="105"/>
      <c r="M37" s="107"/>
      <c r="N37" s="1"/>
      <c r="O37" s="106"/>
      <c r="P37" s="105"/>
      <c r="Q37" s="105"/>
      <c r="R37" s="105"/>
      <c r="S37" s="107"/>
      <c r="T37" s="1"/>
      <c r="U37" s="106"/>
      <c r="V37" s="105"/>
      <c r="W37" s="105"/>
      <c r="X37" s="105"/>
      <c r="Y37" s="107"/>
      <c r="Z37" s="1"/>
      <c r="AA37" s="106"/>
      <c r="AB37" s="105"/>
      <c r="AC37" s="105"/>
      <c r="AD37" s="105"/>
      <c r="AE37" s="107"/>
      <c r="AF37" s="1"/>
      <c r="AG37" s="106"/>
      <c r="AH37" s="105"/>
      <c r="AI37" s="105"/>
      <c r="AJ37" s="105"/>
      <c r="AK37" s="107"/>
      <c r="AL37" s="1"/>
      <c r="AM37" s="106"/>
      <c r="AN37" s="105"/>
      <c r="AO37" s="105"/>
      <c r="AP37" s="105"/>
      <c r="AQ37" s="107"/>
      <c r="AR37" s="1"/>
      <c r="AS37" s="106"/>
      <c r="AT37" s="105"/>
      <c r="AU37" s="105"/>
      <c r="AV37" s="105"/>
      <c r="AW37" s="107"/>
      <c r="AX37" s="1"/>
      <c r="AY37" s="106"/>
      <c r="AZ37" s="105"/>
      <c r="BA37" s="105"/>
      <c r="BB37" s="105"/>
      <c r="BC37" s="107"/>
      <c r="BD37" s="1"/>
      <c r="BE37" s="106"/>
      <c r="BF37" s="105"/>
      <c r="BG37" s="105"/>
      <c r="BH37" s="105"/>
      <c r="BI37" s="107"/>
      <c r="BJ37" s="1"/>
      <c r="BK37" s="106"/>
      <c r="BL37" s="105"/>
      <c r="BM37" s="105"/>
      <c r="BN37" s="105"/>
      <c r="BO37" s="108"/>
      <c r="BP37" s="96"/>
      <c r="BQ37" s="106"/>
      <c r="BR37" s="105"/>
      <c r="BS37" s="105"/>
      <c r="BT37" s="105"/>
      <c r="BU37" s="108"/>
      <c r="BV37" s="1"/>
      <c r="BW37" s="106"/>
      <c r="BX37" s="105"/>
      <c r="BY37" s="105"/>
      <c r="BZ37" s="105"/>
      <c r="CA37" s="108"/>
      <c r="CB37" s="1"/>
      <c r="CC37" s="106"/>
      <c r="CD37" s="105"/>
      <c r="CE37" s="105"/>
      <c r="CF37" s="105"/>
      <c r="CG37" s="108"/>
    </row>
    <row r="38" spans="1:85" s="55" customFormat="1">
      <c r="A38" s="100" t="s">
        <v>109</v>
      </c>
      <c r="B38" s="101"/>
      <c r="C38" s="102">
        <v>-1.5</v>
      </c>
      <c r="D38" s="103">
        <v>-3.6</v>
      </c>
      <c r="E38" s="103">
        <v>-4</v>
      </c>
      <c r="F38" s="103">
        <v>-3</v>
      </c>
      <c r="G38" s="104">
        <v>-12.1</v>
      </c>
      <c r="H38" s="56"/>
      <c r="I38" s="102">
        <v>-1.2</v>
      </c>
      <c r="J38" s="103">
        <v>-3.4</v>
      </c>
      <c r="K38" s="103">
        <v>-3.1000000000000005</v>
      </c>
      <c r="L38" s="103">
        <v>-5.8999999999999995</v>
      </c>
      <c r="M38" s="104">
        <v>-13.6</v>
      </c>
      <c r="N38" s="56"/>
      <c r="O38" s="102">
        <v>-3.5</v>
      </c>
      <c r="P38" s="103">
        <v>-5.9</v>
      </c>
      <c r="Q38" s="103">
        <v>-6.9</v>
      </c>
      <c r="R38" s="103">
        <v>-3.2</v>
      </c>
      <c r="S38" s="104">
        <v>-19.5</v>
      </c>
      <c r="T38" s="56"/>
      <c r="U38" s="102">
        <v>-6.7</v>
      </c>
      <c r="V38" s="103">
        <v>-13.1</v>
      </c>
      <c r="W38" s="103">
        <v>-12.6</v>
      </c>
      <c r="X38" s="103">
        <v>-7.4</v>
      </c>
      <c r="Y38" s="104">
        <v>-39.799999999999997</v>
      </c>
      <c r="Z38" s="56"/>
      <c r="AA38" s="102">
        <v>-6.7</v>
      </c>
      <c r="AB38" s="103">
        <v>-9.4</v>
      </c>
      <c r="AC38" s="103">
        <v>-14.5</v>
      </c>
      <c r="AD38" s="103">
        <v>-5.9</v>
      </c>
      <c r="AE38" s="104">
        <v>-36.5</v>
      </c>
      <c r="AF38" s="56"/>
      <c r="AG38" s="102">
        <v>-7.3</v>
      </c>
      <c r="AH38" s="103">
        <v>-10.199999999999999</v>
      </c>
      <c r="AI38" s="103">
        <v>-14</v>
      </c>
      <c r="AJ38" s="103">
        <v>-5.8</v>
      </c>
      <c r="AK38" s="104">
        <v>-37.299999999999997</v>
      </c>
      <c r="AL38" s="56"/>
      <c r="AM38" s="102">
        <v>-5.6</v>
      </c>
      <c r="AN38" s="103">
        <v>-11.3</v>
      </c>
      <c r="AO38" s="103">
        <v>-11.9</v>
      </c>
      <c r="AP38" s="103">
        <v>-6.9000000000000039</v>
      </c>
      <c r="AQ38" s="104">
        <v>-35.700000000000003</v>
      </c>
      <c r="AR38" s="56"/>
      <c r="AS38" s="102">
        <v>-4.0999999999999996</v>
      </c>
      <c r="AT38" s="103">
        <v>-8</v>
      </c>
      <c r="AU38" s="103">
        <v>-12.899999999999999</v>
      </c>
      <c r="AV38" s="103">
        <v>-8.4</v>
      </c>
      <c r="AW38" s="104">
        <v>-33.4</v>
      </c>
      <c r="AX38" s="56"/>
      <c r="AY38" s="102">
        <v>-4.4000000000000004</v>
      </c>
      <c r="AZ38" s="103">
        <v>-13.2</v>
      </c>
      <c r="BA38" s="103">
        <v>-18.7</v>
      </c>
      <c r="BB38" s="103">
        <v>-10.6</v>
      </c>
      <c r="BC38" s="104">
        <v>-46.9</v>
      </c>
      <c r="BD38" s="56"/>
      <c r="BE38" s="102">
        <v>-6.8</v>
      </c>
      <c r="BF38" s="103">
        <v>-14.2</v>
      </c>
      <c r="BG38" s="103">
        <v>-22</v>
      </c>
      <c r="BH38" s="103">
        <v>-4.2000000000000028</v>
      </c>
      <c r="BI38" s="104">
        <v>-47.2</v>
      </c>
      <c r="BJ38" s="56"/>
      <c r="BK38" s="102">
        <v>-5.2</v>
      </c>
      <c r="BL38" s="103">
        <v>-15.9</v>
      </c>
      <c r="BM38" s="103">
        <v>-21.1</v>
      </c>
      <c r="BN38" s="103">
        <v>-4.8999999999999995</v>
      </c>
      <c r="BO38" s="104">
        <v>-47.1</v>
      </c>
      <c r="BP38" s="56"/>
      <c r="BQ38" s="102">
        <v>-5.2</v>
      </c>
      <c r="BR38" s="103">
        <v>-11.2</v>
      </c>
      <c r="BS38" s="103">
        <v>-17.100000000000001</v>
      </c>
      <c r="BT38" s="103">
        <v>-5.1000000000000005</v>
      </c>
      <c r="BU38" s="104">
        <v>-38.6</v>
      </c>
      <c r="BV38" s="56"/>
      <c r="BW38" s="102">
        <v>-4</v>
      </c>
      <c r="BX38" s="103">
        <v>-10.199999999999999</v>
      </c>
      <c r="BY38" s="103">
        <v>-13.400000000000002</v>
      </c>
      <c r="BZ38" s="103">
        <v>-8.2999999999999972</v>
      </c>
      <c r="CA38" s="104">
        <v>-35.9</v>
      </c>
      <c r="CB38" s="56"/>
      <c r="CC38" s="102">
        <v>-3.6</v>
      </c>
      <c r="CD38" s="103">
        <v>7.8</v>
      </c>
      <c r="CE38" s="103">
        <v>-13.6</v>
      </c>
      <c r="CF38" s="103">
        <v>-13.700000000000001</v>
      </c>
      <c r="CG38" s="104">
        <v>-23.1</v>
      </c>
    </row>
    <row r="39" spans="1:85" ht="5.25" customHeight="1">
      <c r="A39" s="53"/>
      <c r="B39" s="49"/>
      <c r="C39" s="50"/>
      <c r="D39" s="49"/>
      <c r="E39" s="49"/>
      <c r="F39" s="49"/>
      <c r="G39" s="107"/>
      <c r="H39" s="1"/>
      <c r="I39" s="50"/>
      <c r="J39" s="49"/>
      <c r="K39" s="49"/>
      <c r="L39" s="49"/>
      <c r="M39" s="107"/>
      <c r="N39" s="1"/>
      <c r="O39" s="50"/>
      <c r="P39" s="49"/>
      <c r="Q39" s="49"/>
      <c r="R39" s="49"/>
      <c r="S39" s="107"/>
      <c r="T39" s="1"/>
      <c r="U39" s="50"/>
      <c r="V39" s="49"/>
      <c r="W39" s="49"/>
      <c r="X39" s="49"/>
      <c r="Y39" s="107"/>
      <c r="Z39" s="1"/>
      <c r="AA39" s="50"/>
      <c r="AB39" s="49"/>
      <c r="AC39" s="49"/>
      <c r="AD39" s="49"/>
      <c r="AE39" s="107"/>
      <c r="AF39" s="1"/>
      <c r="AG39" s="50"/>
      <c r="AH39" s="49"/>
      <c r="AI39" s="49"/>
      <c r="AJ39" s="49"/>
      <c r="AK39" s="107"/>
      <c r="AL39" s="1"/>
      <c r="AM39" s="50"/>
      <c r="AN39" s="49"/>
      <c r="AO39" s="49"/>
      <c r="AP39" s="49"/>
      <c r="AQ39" s="107"/>
      <c r="AR39" s="1"/>
      <c r="AS39" s="50"/>
      <c r="AT39" s="49"/>
      <c r="AU39" s="49"/>
      <c r="AV39" s="49"/>
      <c r="AW39" s="107"/>
      <c r="AX39" s="1"/>
      <c r="AY39" s="50"/>
      <c r="AZ39" s="49"/>
      <c r="BA39" s="49"/>
      <c r="BB39" s="49"/>
      <c r="BC39" s="107"/>
      <c r="BD39" s="1"/>
      <c r="BE39" s="50"/>
      <c r="BF39" s="49"/>
      <c r="BG39" s="49"/>
      <c r="BH39" s="49"/>
      <c r="BI39" s="107"/>
      <c r="BJ39" s="1"/>
      <c r="BK39" s="50"/>
      <c r="BL39" s="49"/>
      <c r="BM39" s="49"/>
      <c r="BN39" s="49"/>
      <c r="BO39" s="51"/>
      <c r="BP39" s="96"/>
      <c r="BQ39" s="50"/>
      <c r="BR39" s="49"/>
      <c r="BS39" s="49"/>
      <c r="BT39" s="49"/>
      <c r="BU39" s="51"/>
      <c r="BV39" s="1"/>
      <c r="BW39" s="50"/>
      <c r="BX39" s="49"/>
      <c r="BY39" s="49"/>
      <c r="BZ39" s="49"/>
      <c r="CA39" s="51"/>
      <c r="CB39" s="1"/>
      <c r="CC39" s="50"/>
      <c r="CD39" s="49"/>
      <c r="CE39" s="49"/>
      <c r="CF39" s="49"/>
      <c r="CG39" s="51"/>
    </row>
    <row r="40" spans="1:85" ht="15" customHeight="1" thickBot="1">
      <c r="A40" s="78" t="s">
        <v>110</v>
      </c>
      <c r="B40" s="101"/>
      <c r="C40" s="111">
        <v>0.27</v>
      </c>
      <c r="D40" s="112">
        <v>0.42</v>
      </c>
      <c r="E40" s="112">
        <v>0.49</v>
      </c>
      <c r="F40" s="112">
        <v>0.57999999999999996</v>
      </c>
      <c r="G40" s="113">
        <v>1.7599999999999998</v>
      </c>
      <c r="H40" s="1"/>
      <c r="I40" s="111">
        <v>0.33</v>
      </c>
      <c r="J40" s="112">
        <v>0.47</v>
      </c>
      <c r="K40" s="112">
        <v>0.45</v>
      </c>
      <c r="L40" s="112">
        <v>0.56999999999999995</v>
      </c>
      <c r="M40" s="113">
        <v>1.8199999999999998</v>
      </c>
      <c r="N40" s="1"/>
      <c r="O40" s="111">
        <v>0.49</v>
      </c>
      <c r="P40" s="112">
        <v>0.28999999999999998</v>
      </c>
      <c r="Q40" s="112">
        <v>0.57999999999999996</v>
      </c>
      <c r="R40" s="112">
        <v>0.31</v>
      </c>
      <c r="S40" s="113">
        <v>1.67</v>
      </c>
      <c r="T40" s="1"/>
      <c r="U40" s="111">
        <v>0.33</v>
      </c>
      <c r="V40" s="112">
        <v>0.44</v>
      </c>
      <c r="W40" s="112">
        <v>-0.83</v>
      </c>
      <c r="X40" s="112">
        <v>0.56000000000000005</v>
      </c>
      <c r="Y40" s="113">
        <v>0.50000000000000011</v>
      </c>
      <c r="Z40" s="1"/>
      <c r="AA40" s="111">
        <v>0.44</v>
      </c>
      <c r="AB40" s="112">
        <v>0.73</v>
      </c>
      <c r="AC40" s="112">
        <v>0.85</v>
      </c>
      <c r="AD40" s="112">
        <v>0.56000000000000005</v>
      </c>
      <c r="AE40" s="113">
        <v>2.58</v>
      </c>
      <c r="AF40" s="1"/>
      <c r="AG40" s="111">
        <v>0.49</v>
      </c>
      <c r="AH40" s="112">
        <v>0.7</v>
      </c>
      <c r="AI40" s="112">
        <v>0.68</v>
      </c>
      <c r="AJ40" s="112">
        <v>1.1100000000000001</v>
      </c>
      <c r="AK40" s="113">
        <v>2.9800000000000004</v>
      </c>
      <c r="AL40" s="1"/>
      <c r="AM40" s="111">
        <v>0.35</v>
      </c>
      <c r="AN40" s="112">
        <v>0.61</v>
      </c>
      <c r="AO40" s="112">
        <v>0.82</v>
      </c>
      <c r="AP40" s="112">
        <v>0.77</v>
      </c>
      <c r="AQ40" s="113">
        <v>2.5499999999999998</v>
      </c>
      <c r="AR40" s="1"/>
      <c r="AS40" s="111">
        <v>0.33</v>
      </c>
      <c r="AT40" s="112">
        <v>0.56000000000000005</v>
      </c>
      <c r="AU40" s="112">
        <v>0.8</v>
      </c>
      <c r="AV40" s="112">
        <v>0.75</v>
      </c>
      <c r="AW40" s="113">
        <v>2.4400000000000004</v>
      </c>
      <c r="AX40" s="1"/>
      <c r="AY40" s="111">
        <v>0.3</v>
      </c>
      <c r="AZ40" s="112">
        <v>0.92</v>
      </c>
      <c r="BA40" s="112">
        <v>1.23</v>
      </c>
      <c r="BB40" s="112">
        <v>1.6099999999999997</v>
      </c>
      <c r="BC40" s="113">
        <v>4.0599999999999996</v>
      </c>
      <c r="BD40" s="1"/>
      <c r="BE40" s="111">
        <v>0.54</v>
      </c>
      <c r="BF40" s="112">
        <v>1.38</v>
      </c>
      <c r="BG40" s="112">
        <v>1.5</v>
      </c>
      <c r="BH40" s="112">
        <v>1.2599999999999998</v>
      </c>
      <c r="BI40" s="113">
        <v>4.68</v>
      </c>
      <c r="BJ40" s="1"/>
      <c r="BK40" s="111">
        <v>0.56999999999999995</v>
      </c>
      <c r="BL40" s="112">
        <v>1.29</v>
      </c>
      <c r="BM40" s="112">
        <v>1.22</v>
      </c>
      <c r="BN40" s="112">
        <v>1.06</v>
      </c>
      <c r="BO40" s="113">
        <v>4.1399999999999997</v>
      </c>
      <c r="BP40" s="114"/>
      <c r="BQ40" s="111">
        <v>0.51</v>
      </c>
      <c r="BR40" s="112">
        <v>1.22</v>
      </c>
      <c r="BS40" s="112">
        <v>1.71</v>
      </c>
      <c r="BT40" s="112">
        <v>1.57</v>
      </c>
      <c r="BU40" s="113">
        <v>5.01</v>
      </c>
      <c r="BV40" s="1"/>
      <c r="BW40" s="111">
        <v>0.73</v>
      </c>
      <c r="BX40" s="112">
        <v>1.4</v>
      </c>
      <c r="BY40" s="112">
        <v>1.6400000000000001</v>
      </c>
      <c r="BZ40" s="112">
        <v>1.7956214755730682</v>
      </c>
      <c r="CA40" s="113">
        <v>5.5656214755730682</v>
      </c>
      <c r="CB40" s="1"/>
      <c r="CC40" s="111">
        <v>-0.2</v>
      </c>
      <c r="CD40" s="112">
        <v>1.37</v>
      </c>
      <c r="CE40" s="112">
        <v>1.96</v>
      </c>
      <c r="CF40" s="112">
        <v>2.12</v>
      </c>
      <c r="CG40" s="113">
        <v>5.25</v>
      </c>
    </row>
    <row r="41" spans="1:85" ht="5.25" customHeight="1">
      <c r="A41" s="1"/>
      <c r="B41" s="9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96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</row>
    <row r="42" spans="1:85" s="55" customFormat="1">
      <c r="A42" s="56" t="s">
        <v>111</v>
      </c>
      <c r="B42" s="56"/>
      <c r="C42" s="56">
        <v>98.100000000000009</v>
      </c>
      <c r="D42" s="56">
        <v>125.6</v>
      </c>
      <c r="E42" s="56">
        <v>145.89999999999995</v>
      </c>
      <c r="F42" s="56">
        <v>146.5</v>
      </c>
      <c r="G42" s="56">
        <v>516.09999999999991</v>
      </c>
      <c r="H42" s="56"/>
      <c r="I42" s="56">
        <v>101.70000000000002</v>
      </c>
      <c r="J42" s="56">
        <v>133.39999999999998</v>
      </c>
      <c r="K42" s="56">
        <v>123.20000000000005</v>
      </c>
      <c r="L42" s="56">
        <v>173.90000000000009</v>
      </c>
      <c r="M42" s="56">
        <v>532.20000000000016</v>
      </c>
      <c r="N42" s="56"/>
      <c r="O42" s="56">
        <v>109.1</v>
      </c>
      <c r="P42" s="56">
        <v>130.9</v>
      </c>
      <c r="Q42" s="56">
        <v>189.7</v>
      </c>
      <c r="R42" s="56">
        <v>188.20000000000005</v>
      </c>
      <c r="S42" s="56">
        <v>617.9</v>
      </c>
      <c r="T42" s="56"/>
      <c r="U42" s="56">
        <v>110.79999999999997</v>
      </c>
      <c r="V42" s="56">
        <v>156.69999999999999</v>
      </c>
      <c r="W42" s="56">
        <v>192.80000000000007</v>
      </c>
      <c r="X42" s="56">
        <v>154.00000000000006</v>
      </c>
      <c r="Y42" s="56">
        <v>614.29999999999995</v>
      </c>
      <c r="Z42" s="56"/>
      <c r="AA42" s="56">
        <v>151.9</v>
      </c>
      <c r="AB42" s="56">
        <v>214.70000000000007</v>
      </c>
      <c r="AC42" s="56">
        <v>234.09999999999997</v>
      </c>
      <c r="AD42" s="56">
        <v>200.40000000000006</v>
      </c>
      <c r="AE42" s="56">
        <v>801.09999999999991</v>
      </c>
      <c r="AF42" s="56"/>
      <c r="AG42" s="56">
        <v>165.69999999999996</v>
      </c>
      <c r="AH42" s="56">
        <v>212.7</v>
      </c>
      <c r="AI42" s="56">
        <v>230.69999999999987</v>
      </c>
      <c r="AJ42" s="56">
        <v>275.89999999999998</v>
      </c>
      <c r="AK42" s="56">
        <v>885</v>
      </c>
      <c r="AL42" s="56"/>
      <c r="AM42" s="56">
        <v>150.10000000000002</v>
      </c>
      <c r="AN42" s="56">
        <v>207.90000000000009</v>
      </c>
      <c r="AO42" s="56">
        <v>251.60000000000008</v>
      </c>
      <c r="AP42" s="56">
        <v>241.00000000000009</v>
      </c>
      <c r="AQ42" s="56">
        <v>850.6</v>
      </c>
      <c r="AR42" s="56"/>
      <c r="AS42" s="56">
        <v>144.39999999999998</v>
      </c>
      <c r="AT42" s="56">
        <v>194.49999999999989</v>
      </c>
      <c r="AU42" s="56">
        <v>242.99999999999991</v>
      </c>
      <c r="AV42" s="56">
        <v>305.70000000000005</v>
      </c>
      <c r="AW42" s="56">
        <v>887.60000000000014</v>
      </c>
      <c r="AX42" s="56"/>
      <c r="AY42" s="56">
        <v>150.40000000000009</v>
      </c>
      <c r="AZ42" s="56">
        <v>284.3</v>
      </c>
      <c r="BA42" s="56">
        <v>370.2000000000001</v>
      </c>
      <c r="BB42" s="56">
        <v>389.1</v>
      </c>
      <c r="BC42" s="56">
        <v>1193.9999999999995</v>
      </c>
      <c r="BD42" s="56"/>
      <c r="BE42" s="56">
        <v>205.40000000000003</v>
      </c>
      <c r="BF42" s="56">
        <v>369.6</v>
      </c>
      <c r="BG42" s="56">
        <v>388.09999999999991</v>
      </c>
      <c r="BH42" s="56">
        <v>367.59999999999962</v>
      </c>
      <c r="BI42" s="56">
        <v>1330.6999999999996</v>
      </c>
      <c r="BJ42" s="56"/>
      <c r="BK42" s="56">
        <v>211.00000000000009</v>
      </c>
      <c r="BL42" s="56">
        <v>365.7000000000001</v>
      </c>
      <c r="BM42" s="56">
        <v>358.60000000000019</v>
      </c>
      <c r="BN42" s="56">
        <v>363.50000000000045</v>
      </c>
      <c r="BO42" s="56">
        <v>1298.8000000000002</v>
      </c>
      <c r="BP42" s="56"/>
      <c r="BQ42" s="56">
        <v>202.79999999999995</v>
      </c>
      <c r="BR42" s="56">
        <v>376.99999999999989</v>
      </c>
      <c r="BS42" s="56">
        <v>482.5</v>
      </c>
      <c r="BT42" s="56">
        <v>469.00000000000233</v>
      </c>
      <c r="BU42" s="56">
        <v>1531.3000000000013</v>
      </c>
      <c r="BV42" s="56"/>
      <c r="BW42" s="56">
        <v>280.89999999999998</v>
      </c>
      <c r="BX42" s="56">
        <v>427.7</v>
      </c>
      <c r="BY42" s="56">
        <v>495.9</v>
      </c>
      <c r="BZ42" s="56">
        <v>470.99999999999852</v>
      </c>
      <c r="CA42" s="56">
        <v>1675.4999999999986</v>
      </c>
      <c r="CB42" s="56"/>
      <c r="CC42" s="56">
        <v>309</v>
      </c>
      <c r="CD42" s="56">
        <v>371.3</v>
      </c>
      <c r="CE42" s="56">
        <v>586.20000000000005</v>
      </c>
      <c r="CF42" s="56">
        <v>593.5</v>
      </c>
      <c r="CG42" s="56">
        <v>1860</v>
      </c>
    </row>
    <row r="43" spans="1:85" s="55" customFormat="1">
      <c r="A43" s="56" t="s">
        <v>112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>
        <v>344.90000000000003</v>
      </c>
      <c r="BX43" s="56">
        <v>496.3</v>
      </c>
      <c r="BY43" s="56">
        <v>563.6</v>
      </c>
      <c r="BZ43" s="56">
        <v>544.29999999999859</v>
      </c>
      <c r="CA43" s="56">
        <v>1949.0999999999988</v>
      </c>
      <c r="CB43" s="56"/>
      <c r="CC43" s="56">
        <v>385.7</v>
      </c>
      <c r="CD43" s="56">
        <v>450.2</v>
      </c>
      <c r="CE43" s="56">
        <v>659.7</v>
      </c>
      <c r="CF43" s="56">
        <v>671.3</v>
      </c>
      <c r="CG43" s="56">
        <v>2166.9</v>
      </c>
    </row>
    <row r="44" spans="1:85" ht="5.25" customHeight="1" thickBot="1">
      <c r="A44" s="1"/>
      <c r="B44" s="9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96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</row>
    <row r="45" spans="1:85" ht="16.5" thickBot="1">
      <c r="A45" s="27" t="s">
        <v>80</v>
      </c>
      <c r="B45" s="95"/>
      <c r="C45" s="266">
        <v>2007</v>
      </c>
      <c r="D45" s="267"/>
      <c r="E45" s="267"/>
      <c r="F45" s="267"/>
      <c r="G45" s="268"/>
      <c r="H45" s="1"/>
      <c r="I45" s="266">
        <v>2008</v>
      </c>
      <c r="J45" s="267"/>
      <c r="K45" s="267"/>
      <c r="L45" s="267"/>
      <c r="M45" s="268"/>
      <c r="N45" s="1"/>
      <c r="O45" s="266">
        <v>2009</v>
      </c>
      <c r="P45" s="267"/>
      <c r="Q45" s="267"/>
      <c r="R45" s="267"/>
      <c r="S45" s="268"/>
      <c r="T45" s="1"/>
      <c r="U45" s="30"/>
      <c r="V45" s="31">
        <v>2010</v>
      </c>
      <c r="W45" s="31"/>
      <c r="X45" s="31"/>
      <c r="Y45" s="32" t="s">
        <v>128</v>
      </c>
      <c r="Z45" s="1"/>
      <c r="AA45" s="30">
        <v>2011</v>
      </c>
      <c r="AB45" s="31"/>
      <c r="AC45" s="31"/>
      <c r="AD45" s="31"/>
      <c r="AE45" s="32"/>
      <c r="AF45" s="1"/>
      <c r="AG45" s="30">
        <v>2012</v>
      </c>
      <c r="AH45" s="31"/>
      <c r="AI45" s="31"/>
      <c r="AJ45" s="31"/>
      <c r="AK45" s="32"/>
      <c r="AL45" s="1"/>
      <c r="AM45" s="30">
        <v>2013</v>
      </c>
      <c r="AN45" s="31"/>
      <c r="AO45" s="31"/>
      <c r="AP45" s="31"/>
      <c r="AQ45" s="32"/>
      <c r="AR45" s="1"/>
      <c r="AS45" s="33">
        <v>2014</v>
      </c>
      <c r="AT45" s="31"/>
      <c r="AU45" s="31"/>
      <c r="AV45" s="31"/>
      <c r="AW45" s="32"/>
      <c r="AX45" s="1"/>
      <c r="AY45" s="30">
        <v>2015</v>
      </c>
      <c r="AZ45" s="31"/>
      <c r="BA45" s="31"/>
      <c r="BB45" s="31"/>
      <c r="BC45" s="32"/>
      <c r="BD45" s="1"/>
      <c r="BE45" s="33">
        <v>2016</v>
      </c>
      <c r="BF45" s="31"/>
      <c r="BG45" s="31"/>
      <c r="BH45" s="31"/>
      <c r="BI45" s="32"/>
      <c r="BJ45" s="1"/>
      <c r="BK45" s="33">
        <v>2017</v>
      </c>
      <c r="BL45" s="31"/>
      <c r="BM45" s="31"/>
      <c r="BN45" s="31"/>
      <c r="BO45" s="32"/>
      <c r="BP45" s="96"/>
      <c r="BQ45" s="33">
        <v>2018</v>
      </c>
      <c r="BR45" s="32"/>
      <c r="BS45" s="32"/>
      <c r="BT45" s="32"/>
      <c r="BU45" s="32"/>
      <c r="BV45" s="1"/>
      <c r="BW45" s="33">
        <v>2019</v>
      </c>
      <c r="BX45" s="32"/>
      <c r="BY45" s="32"/>
      <c r="BZ45" s="32"/>
      <c r="CA45" s="32"/>
      <c r="CB45" s="1">
        <v>2020</v>
      </c>
      <c r="CC45" s="30">
        <v>2020</v>
      </c>
      <c r="CD45" s="31"/>
      <c r="CE45" s="31"/>
      <c r="CF45" s="31"/>
      <c r="CG45" s="32"/>
    </row>
    <row r="46" spans="1:85" ht="12" thickBot="1">
      <c r="A46" s="35" t="s">
        <v>81</v>
      </c>
      <c r="B46" s="36"/>
      <c r="C46" s="37" t="s">
        <v>129</v>
      </c>
      <c r="D46" s="41" t="s">
        <v>130</v>
      </c>
      <c r="E46" s="41" t="s">
        <v>131</v>
      </c>
      <c r="F46" s="41" t="s">
        <v>132</v>
      </c>
      <c r="G46" s="39" t="s">
        <v>82</v>
      </c>
      <c r="H46" s="1"/>
      <c r="I46" s="37" t="s">
        <v>133</v>
      </c>
      <c r="J46" s="41" t="s">
        <v>134</v>
      </c>
      <c r="K46" s="41" t="s">
        <v>135</v>
      </c>
      <c r="L46" s="41" t="s">
        <v>136</v>
      </c>
      <c r="M46" s="39" t="s">
        <v>82</v>
      </c>
      <c r="N46" s="1"/>
      <c r="O46" s="40" t="s">
        <v>137</v>
      </c>
      <c r="P46" s="41" t="s">
        <v>138</v>
      </c>
      <c r="Q46" s="38" t="s">
        <v>139</v>
      </c>
      <c r="R46" s="38" t="s">
        <v>140</v>
      </c>
      <c r="S46" s="39" t="s">
        <v>82</v>
      </c>
      <c r="T46" s="1"/>
      <c r="U46" s="40" t="s">
        <v>141</v>
      </c>
      <c r="V46" s="41" t="s">
        <v>142</v>
      </c>
      <c r="W46" s="41" t="s">
        <v>143</v>
      </c>
      <c r="X46" s="41" t="s">
        <v>144</v>
      </c>
      <c r="Y46" s="42" t="s">
        <v>82</v>
      </c>
      <c r="Z46" s="1"/>
      <c r="AA46" s="40" t="s">
        <v>145</v>
      </c>
      <c r="AB46" s="41" t="s">
        <v>146</v>
      </c>
      <c r="AC46" s="41" t="s">
        <v>147</v>
      </c>
      <c r="AD46" s="41" t="s">
        <v>148</v>
      </c>
      <c r="AE46" s="42" t="s">
        <v>82</v>
      </c>
      <c r="AF46" s="1"/>
      <c r="AG46" s="40" t="s">
        <v>149</v>
      </c>
      <c r="AH46" s="41" t="s">
        <v>150</v>
      </c>
      <c r="AI46" s="41" t="s">
        <v>151</v>
      </c>
      <c r="AJ46" s="41" t="s">
        <v>152</v>
      </c>
      <c r="AK46" s="42" t="s">
        <v>82</v>
      </c>
      <c r="AL46" s="1"/>
      <c r="AM46" s="40" t="s">
        <v>153</v>
      </c>
      <c r="AN46" s="41" t="s">
        <v>154</v>
      </c>
      <c r="AO46" s="41" t="s">
        <v>155</v>
      </c>
      <c r="AP46" s="41" t="s">
        <v>156</v>
      </c>
      <c r="AQ46" s="42" t="s">
        <v>82</v>
      </c>
      <c r="AR46" s="1"/>
      <c r="AS46" s="40" t="s">
        <v>157</v>
      </c>
      <c r="AT46" s="41" t="s">
        <v>158</v>
      </c>
      <c r="AU46" s="41" t="s">
        <v>159</v>
      </c>
      <c r="AV46" s="41" t="s">
        <v>160</v>
      </c>
      <c r="AW46" s="42" t="s">
        <v>82</v>
      </c>
      <c r="AX46" s="1"/>
      <c r="AY46" s="40" t="s">
        <v>161</v>
      </c>
      <c r="AZ46" s="41" t="s">
        <v>162</v>
      </c>
      <c r="BA46" s="41" t="s">
        <v>163</v>
      </c>
      <c r="BB46" s="41" t="s">
        <v>164</v>
      </c>
      <c r="BC46" s="42" t="s">
        <v>82</v>
      </c>
      <c r="BD46" s="1"/>
      <c r="BE46" s="40" t="s">
        <v>165</v>
      </c>
      <c r="BF46" s="41" t="s">
        <v>166</v>
      </c>
      <c r="BG46" s="41" t="s">
        <v>167</v>
      </c>
      <c r="BH46" s="41" t="s">
        <v>168</v>
      </c>
      <c r="BI46" s="42" t="s">
        <v>82</v>
      </c>
      <c r="BJ46" s="1"/>
      <c r="BK46" s="40" t="s">
        <v>169</v>
      </c>
      <c r="BL46" s="41" t="s">
        <v>170</v>
      </c>
      <c r="BM46" s="41" t="s">
        <v>171</v>
      </c>
      <c r="BN46" s="41" t="s">
        <v>172</v>
      </c>
      <c r="BO46" s="42" t="s">
        <v>82</v>
      </c>
      <c r="BP46" s="96"/>
      <c r="BQ46" s="40" t="s">
        <v>173</v>
      </c>
      <c r="BR46" s="41" t="s">
        <v>174</v>
      </c>
      <c r="BS46" s="41" t="s">
        <v>175</v>
      </c>
      <c r="BT46" s="41" t="s">
        <v>176</v>
      </c>
      <c r="BU46" s="42" t="s">
        <v>82</v>
      </c>
      <c r="BV46" s="1"/>
      <c r="BW46" s="40" t="s">
        <v>42</v>
      </c>
      <c r="BX46" s="41" t="s">
        <v>43</v>
      </c>
      <c r="BY46" s="41" t="s">
        <v>44</v>
      </c>
      <c r="BZ46" s="41" t="s">
        <v>45</v>
      </c>
      <c r="CA46" s="42" t="s">
        <v>82</v>
      </c>
      <c r="CB46" s="1"/>
      <c r="CC46" s="40" t="s">
        <v>46</v>
      </c>
      <c r="CD46" s="41" t="s">
        <v>47</v>
      </c>
      <c r="CE46" s="41" t="s">
        <v>48</v>
      </c>
      <c r="CF46" s="41" t="s">
        <v>49</v>
      </c>
      <c r="CG46" s="42" t="s">
        <v>82</v>
      </c>
    </row>
    <row r="47" spans="1:85" ht="5.25" customHeight="1">
      <c r="A47" s="52"/>
      <c r="B47" s="116"/>
      <c r="C47" s="117"/>
      <c r="D47" s="116"/>
      <c r="E47" s="116"/>
      <c r="F47" s="116"/>
      <c r="G47" s="118"/>
      <c r="H47" s="1"/>
      <c r="I47" s="117"/>
      <c r="J47" s="116"/>
      <c r="K47" s="116"/>
      <c r="L47" s="116"/>
      <c r="M47" s="118"/>
      <c r="N47" s="1"/>
      <c r="O47" s="117"/>
      <c r="P47" s="116"/>
      <c r="Q47" s="116"/>
      <c r="R47" s="116"/>
      <c r="S47" s="118"/>
      <c r="T47" s="1"/>
      <c r="U47" s="117"/>
      <c r="V47" s="119"/>
      <c r="W47" s="119"/>
      <c r="X47" s="119"/>
      <c r="Y47" s="118"/>
      <c r="Z47" s="1"/>
      <c r="AA47" s="117"/>
      <c r="AB47" s="119"/>
      <c r="AC47" s="119"/>
      <c r="AD47" s="119"/>
      <c r="AE47" s="118"/>
      <c r="AF47" s="1"/>
      <c r="AG47" s="117"/>
      <c r="AH47" s="119"/>
      <c r="AI47" s="119"/>
      <c r="AJ47" s="119"/>
      <c r="AK47" s="118"/>
      <c r="AL47" s="1"/>
      <c r="AM47" s="117"/>
      <c r="AN47" s="119"/>
      <c r="AO47" s="119"/>
      <c r="AP47" s="119"/>
      <c r="AQ47" s="118"/>
      <c r="AR47" s="1"/>
      <c r="AS47" s="117"/>
      <c r="AT47" s="119"/>
      <c r="AU47" s="119"/>
      <c r="AV47" s="119"/>
      <c r="AW47" s="118"/>
      <c r="AX47" s="1"/>
      <c r="AY47" s="117"/>
      <c r="AZ47" s="119"/>
      <c r="BA47" s="119"/>
      <c r="BB47" s="119"/>
      <c r="BC47" s="118"/>
      <c r="BD47" s="1"/>
      <c r="BE47" s="117"/>
      <c r="BF47" s="119"/>
      <c r="BG47" s="119"/>
      <c r="BH47" s="119"/>
      <c r="BI47" s="118"/>
      <c r="BJ47" s="1"/>
      <c r="BK47" s="117"/>
      <c r="BL47" s="119"/>
      <c r="BM47" s="119"/>
      <c r="BN47" s="119"/>
      <c r="BO47" s="118"/>
      <c r="BP47" s="96"/>
      <c r="BQ47" s="117"/>
      <c r="BR47" s="119"/>
      <c r="BS47" s="119"/>
      <c r="BT47" s="119"/>
      <c r="BU47" s="118"/>
      <c r="BV47" s="1"/>
      <c r="BW47" s="117"/>
      <c r="BX47" s="119"/>
      <c r="BY47" s="119"/>
      <c r="BZ47" s="119"/>
      <c r="CA47" s="118"/>
      <c r="CB47" s="1"/>
      <c r="CC47" s="120"/>
      <c r="CD47" s="1"/>
      <c r="CE47" s="1"/>
      <c r="CF47" s="1"/>
      <c r="CG47" s="107"/>
    </row>
    <row r="48" spans="1:85">
      <c r="A48" s="53" t="s">
        <v>83</v>
      </c>
      <c r="B48" s="116"/>
      <c r="C48" s="121"/>
      <c r="D48" s="116"/>
      <c r="E48" s="116"/>
      <c r="F48" s="116"/>
      <c r="G48" s="122"/>
      <c r="H48" s="1"/>
      <c r="I48" s="121"/>
      <c r="J48" s="116"/>
      <c r="K48" s="116"/>
      <c r="L48" s="116"/>
      <c r="M48" s="122"/>
      <c r="N48" s="1"/>
      <c r="O48" s="121"/>
      <c r="P48" s="116"/>
      <c r="Q48" s="116"/>
      <c r="R48" s="116"/>
      <c r="S48" s="122"/>
      <c r="T48" s="1"/>
      <c r="U48" s="121"/>
      <c r="V48" s="116"/>
      <c r="W48" s="116"/>
      <c r="X48" s="116"/>
      <c r="Y48" s="122"/>
      <c r="Z48" s="1"/>
      <c r="AA48" s="121"/>
      <c r="AB48" s="116"/>
      <c r="AC48" s="116"/>
      <c r="AD48" s="116"/>
      <c r="AE48" s="122"/>
      <c r="AF48" s="1"/>
      <c r="AG48" s="121"/>
      <c r="AH48" s="116"/>
      <c r="AI48" s="116"/>
      <c r="AJ48" s="116"/>
      <c r="AK48" s="122"/>
      <c r="AL48" s="1"/>
      <c r="AM48" s="121"/>
      <c r="AN48" s="116"/>
      <c r="AO48" s="116"/>
      <c r="AP48" s="116"/>
      <c r="AQ48" s="122"/>
      <c r="AR48" s="1"/>
      <c r="AS48" s="121"/>
      <c r="AT48" s="116"/>
      <c r="AU48" s="116"/>
      <c r="AV48" s="116"/>
      <c r="AW48" s="122"/>
      <c r="AX48" s="1"/>
      <c r="AY48" s="121"/>
      <c r="AZ48" s="116"/>
      <c r="BA48" s="116"/>
      <c r="BB48" s="116"/>
      <c r="BC48" s="122"/>
      <c r="BD48" s="1"/>
      <c r="BE48" s="121"/>
      <c r="BF48" s="116"/>
      <c r="BG48" s="116"/>
      <c r="BH48" s="116"/>
      <c r="BI48" s="122"/>
      <c r="BJ48" s="1"/>
      <c r="BK48" s="121"/>
      <c r="BL48" s="116"/>
      <c r="BM48" s="116"/>
      <c r="BN48" s="116"/>
      <c r="BO48" s="122"/>
      <c r="BP48" s="96"/>
      <c r="BQ48" s="121"/>
      <c r="BR48" s="116"/>
      <c r="BS48" s="116"/>
      <c r="BT48" s="116"/>
      <c r="BU48" s="122"/>
      <c r="BV48" s="123"/>
      <c r="BW48" s="121"/>
      <c r="BX48" s="116"/>
      <c r="BY48" s="116"/>
      <c r="BZ48" s="116"/>
      <c r="CA48" s="122"/>
      <c r="CB48" s="123"/>
      <c r="CC48" s="121"/>
      <c r="CD48" s="116"/>
      <c r="CE48" s="116"/>
      <c r="CF48" s="116"/>
      <c r="CG48" s="122"/>
    </row>
    <row r="49" spans="1:85" ht="11.25" customHeight="1">
      <c r="A49" s="52" t="s">
        <v>114</v>
      </c>
      <c r="B49" s="116"/>
      <c r="C49" s="124">
        <v>111</v>
      </c>
      <c r="D49" s="123">
        <v>152</v>
      </c>
      <c r="E49" s="123">
        <v>142</v>
      </c>
      <c r="F49" s="123">
        <v>206</v>
      </c>
      <c r="G49" s="125">
        <v>611</v>
      </c>
      <c r="H49" s="1"/>
      <c r="I49" s="124">
        <v>158</v>
      </c>
      <c r="J49" s="123">
        <v>151</v>
      </c>
      <c r="K49" s="123">
        <v>134</v>
      </c>
      <c r="L49" s="123">
        <v>158</v>
      </c>
      <c r="M49" s="125">
        <v>601</v>
      </c>
      <c r="N49" s="1"/>
      <c r="O49" s="124">
        <v>129</v>
      </c>
      <c r="P49" s="123">
        <v>133</v>
      </c>
      <c r="Q49" s="123">
        <v>124</v>
      </c>
      <c r="R49" s="123">
        <v>119</v>
      </c>
      <c r="S49" s="125">
        <v>505</v>
      </c>
      <c r="T49" s="1"/>
      <c r="U49" s="124">
        <v>114</v>
      </c>
      <c r="V49" s="123">
        <v>125</v>
      </c>
      <c r="W49" s="123">
        <v>109</v>
      </c>
      <c r="X49" s="123">
        <v>125</v>
      </c>
      <c r="Y49" s="125">
        <v>473</v>
      </c>
      <c r="Z49" s="1"/>
      <c r="AA49" s="124">
        <v>129</v>
      </c>
      <c r="AB49" s="123">
        <v>125</v>
      </c>
      <c r="AC49" s="123">
        <v>111</v>
      </c>
      <c r="AD49" s="123">
        <v>123</v>
      </c>
      <c r="AE49" s="125">
        <v>488</v>
      </c>
      <c r="AF49" s="1"/>
      <c r="AG49" s="124">
        <v>107</v>
      </c>
      <c r="AH49" s="123">
        <v>117</v>
      </c>
      <c r="AI49" s="123">
        <v>91</v>
      </c>
      <c r="AJ49" s="123">
        <v>108</v>
      </c>
      <c r="AK49" s="125">
        <v>423</v>
      </c>
      <c r="AL49" s="1"/>
      <c r="AM49" s="124">
        <v>105</v>
      </c>
      <c r="AN49" s="123">
        <v>112</v>
      </c>
      <c r="AO49" s="123">
        <v>93</v>
      </c>
      <c r="AP49" s="123">
        <v>91.9</v>
      </c>
      <c r="AQ49" s="125">
        <v>401.9</v>
      </c>
      <c r="AR49" s="123"/>
      <c r="AS49" s="124">
        <v>101</v>
      </c>
      <c r="AT49" s="123">
        <v>107</v>
      </c>
      <c r="AU49" s="123">
        <v>84</v>
      </c>
      <c r="AV49" s="123">
        <v>125</v>
      </c>
      <c r="AW49" s="125">
        <v>417</v>
      </c>
      <c r="AX49" s="123"/>
      <c r="AY49" s="124">
        <v>118</v>
      </c>
      <c r="AZ49" s="123">
        <v>128</v>
      </c>
      <c r="BA49" s="123">
        <v>128</v>
      </c>
      <c r="BB49" s="123">
        <v>152</v>
      </c>
      <c r="BC49" s="125">
        <v>526</v>
      </c>
      <c r="BD49" s="123"/>
      <c r="BE49" s="124">
        <v>158</v>
      </c>
      <c r="BF49" s="123">
        <v>186</v>
      </c>
      <c r="BG49" s="123">
        <v>164</v>
      </c>
      <c r="BH49" s="123">
        <v>157</v>
      </c>
      <c r="BI49" s="125">
        <v>665</v>
      </c>
      <c r="BJ49" s="123"/>
      <c r="BK49" s="124">
        <v>139</v>
      </c>
      <c r="BL49" s="123">
        <v>149</v>
      </c>
      <c r="BM49" s="123">
        <v>146</v>
      </c>
      <c r="BN49" s="123">
        <v>180</v>
      </c>
      <c r="BO49" s="125">
        <v>614</v>
      </c>
      <c r="BP49" s="96"/>
      <c r="BQ49" s="124">
        <v>148</v>
      </c>
      <c r="BR49" s="123">
        <v>162</v>
      </c>
      <c r="BS49" s="123">
        <v>147</v>
      </c>
      <c r="BT49" s="123">
        <v>154</v>
      </c>
      <c r="BU49" s="125">
        <v>611</v>
      </c>
      <c r="BV49" s="126"/>
      <c r="BW49" s="124">
        <v>152</v>
      </c>
      <c r="BX49" s="123">
        <v>153</v>
      </c>
      <c r="BY49" s="123">
        <v>153</v>
      </c>
      <c r="BZ49" s="123">
        <v>160</v>
      </c>
      <c r="CA49" s="125">
        <v>618</v>
      </c>
      <c r="CB49" s="91"/>
      <c r="CC49" s="124">
        <v>192</v>
      </c>
      <c r="CD49" s="123">
        <v>187</v>
      </c>
      <c r="CE49" s="123">
        <v>176</v>
      </c>
      <c r="CF49" s="123">
        <v>223</v>
      </c>
      <c r="CG49" s="125">
        <v>778</v>
      </c>
    </row>
    <row r="50" spans="1:85" ht="11.25" customHeight="1">
      <c r="A50" s="52" t="s">
        <v>115</v>
      </c>
      <c r="B50" s="116"/>
      <c r="C50" s="124">
        <v>197</v>
      </c>
      <c r="D50" s="123">
        <v>206</v>
      </c>
      <c r="E50" s="123">
        <v>201</v>
      </c>
      <c r="F50" s="123">
        <v>226</v>
      </c>
      <c r="G50" s="125">
        <v>830</v>
      </c>
      <c r="H50" s="1"/>
      <c r="I50" s="124">
        <v>174</v>
      </c>
      <c r="J50" s="123">
        <v>202</v>
      </c>
      <c r="K50" s="123">
        <v>214</v>
      </c>
      <c r="L50" s="123">
        <v>307</v>
      </c>
      <c r="M50" s="125">
        <v>897</v>
      </c>
      <c r="N50" s="1"/>
      <c r="O50" s="124">
        <v>219</v>
      </c>
      <c r="P50" s="123">
        <v>244</v>
      </c>
      <c r="Q50" s="123">
        <v>280</v>
      </c>
      <c r="R50" s="123">
        <v>309</v>
      </c>
      <c r="S50" s="125">
        <v>1052</v>
      </c>
      <c r="T50" s="1"/>
      <c r="U50" s="124">
        <v>205</v>
      </c>
      <c r="V50" s="123">
        <v>201</v>
      </c>
      <c r="W50" s="123">
        <v>248</v>
      </c>
      <c r="X50" s="123">
        <v>306</v>
      </c>
      <c r="Y50" s="125">
        <v>960</v>
      </c>
      <c r="Z50" s="1"/>
      <c r="AA50" s="124">
        <v>233</v>
      </c>
      <c r="AB50" s="123">
        <v>271</v>
      </c>
      <c r="AC50" s="123">
        <v>310</v>
      </c>
      <c r="AD50" s="123">
        <v>294</v>
      </c>
      <c r="AE50" s="125">
        <v>1108</v>
      </c>
      <c r="AF50" s="1"/>
      <c r="AG50" s="124">
        <v>219</v>
      </c>
      <c r="AH50" s="123">
        <v>251</v>
      </c>
      <c r="AI50" s="123">
        <v>251</v>
      </c>
      <c r="AJ50" s="123">
        <v>315</v>
      </c>
      <c r="AK50" s="125">
        <v>1036</v>
      </c>
      <c r="AL50" s="1"/>
      <c r="AM50" s="124">
        <v>235</v>
      </c>
      <c r="AN50" s="123">
        <v>270</v>
      </c>
      <c r="AO50" s="123">
        <v>332</v>
      </c>
      <c r="AP50" s="123">
        <v>362</v>
      </c>
      <c r="AQ50" s="125">
        <v>1199</v>
      </c>
      <c r="AR50" s="123"/>
      <c r="AS50" s="124">
        <v>294</v>
      </c>
      <c r="AT50" s="123">
        <v>284</v>
      </c>
      <c r="AU50" s="123">
        <v>316</v>
      </c>
      <c r="AV50" s="123">
        <v>386</v>
      </c>
      <c r="AW50" s="125">
        <v>1280</v>
      </c>
      <c r="AX50" s="123"/>
      <c r="AY50" s="124">
        <v>272</v>
      </c>
      <c r="AZ50" s="123">
        <v>358</v>
      </c>
      <c r="BA50" s="123">
        <v>563</v>
      </c>
      <c r="BB50" s="123">
        <v>616</v>
      </c>
      <c r="BC50" s="125">
        <v>1809</v>
      </c>
      <c r="BD50" s="123"/>
      <c r="BE50" s="124">
        <v>374</v>
      </c>
      <c r="BF50" s="123">
        <v>488</v>
      </c>
      <c r="BG50" s="123">
        <v>493</v>
      </c>
      <c r="BH50" s="123">
        <v>505</v>
      </c>
      <c r="BI50" s="125">
        <v>1860</v>
      </c>
      <c r="BJ50" s="123"/>
      <c r="BK50" s="124">
        <v>383</v>
      </c>
      <c r="BL50" s="123">
        <v>411</v>
      </c>
      <c r="BM50" s="123">
        <v>470</v>
      </c>
      <c r="BN50" s="123">
        <v>407</v>
      </c>
      <c r="BO50" s="125">
        <v>1671</v>
      </c>
      <c r="BP50" s="96"/>
      <c r="BQ50" s="124">
        <v>409</v>
      </c>
      <c r="BR50" s="123">
        <v>403</v>
      </c>
      <c r="BS50" s="123">
        <v>433</v>
      </c>
      <c r="BT50" s="123">
        <v>465</v>
      </c>
      <c r="BU50" s="125">
        <v>1710</v>
      </c>
      <c r="BV50" s="126"/>
      <c r="BW50" s="124">
        <v>391</v>
      </c>
      <c r="BX50" s="123">
        <v>370</v>
      </c>
      <c r="BY50" s="123">
        <v>449</v>
      </c>
      <c r="BZ50" s="123">
        <v>498</v>
      </c>
      <c r="CA50" s="125">
        <v>1708</v>
      </c>
      <c r="CB50" s="1"/>
      <c r="CC50" s="124">
        <v>423</v>
      </c>
      <c r="CD50" s="123">
        <v>411</v>
      </c>
      <c r="CE50" s="123">
        <v>481</v>
      </c>
      <c r="CF50" s="123">
        <v>608</v>
      </c>
      <c r="CG50" s="125">
        <v>1923</v>
      </c>
    </row>
    <row r="51" spans="1:85" ht="11.25" customHeight="1">
      <c r="A51" s="52" t="s">
        <v>116</v>
      </c>
      <c r="B51" s="116"/>
      <c r="C51" s="124">
        <v>187</v>
      </c>
      <c r="D51" s="123">
        <v>205</v>
      </c>
      <c r="E51" s="123">
        <v>218</v>
      </c>
      <c r="F51" s="123">
        <v>179</v>
      </c>
      <c r="G51" s="125">
        <v>789</v>
      </c>
      <c r="H51" s="1"/>
      <c r="I51" s="124">
        <v>155</v>
      </c>
      <c r="J51" s="123">
        <v>186</v>
      </c>
      <c r="K51" s="123">
        <v>186</v>
      </c>
      <c r="L51" s="123">
        <v>251</v>
      </c>
      <c r="M51" s="125">
        <v>778</v>
      </c>
      <c r="N51" s="1"/>
      <c r="O51" s="124">
        <v>199</v>
      </c>
      <c r="P51" s="123">
        <v>217</v>
      </c>
      <c r="Q51" s="123">
        <v>221</v>
      </c>
      <c r="R51" s="123">
        <v>186</v>
      </c>
      <c r="S51" s="125">
        <v>823</v>
      </c>
      <c r="T51" s="1"/>
      <c r="U51" s="124">
        <v>185</v>
      </c>
      <c r="V51" s="123">
        <v>256.2</v>
      </c>
      <c r="W51" s="123">
        <v>267</v>
      </c>
      <c r="X51" s="123">
        <v>213</v>
      </c>
      <c r="Y51" s="125">
        <v>921.2</v>
      </c>
      <c r="Z51" s="1"/>
      <c r="AA51" s="124">
        <v>211</v>
      </c>
      <c r="AB51" s="123">
        <v>243</v>
      </c>
      <c r="AC51" s="123">
        <v>286</v>
      </c>
      <c r="AD51" s="123">
        <v>230</v>
      </c>
      <c r="AE51" s="125">
        <v>970</v>
      </c>
      <c r="AF51" s="1"/>
      <c r="AG51" s="124">
        <v>241</v>
      </c>
      <c r="AH51" s="123">
        <v>257</v>
      </c>
      <c r="AI51" s="123">
        <v>279</v>
      </c>
      <c r="AJ51" s="123">
        <v>218</v>
      </c>
      <c r="AK51" s="125">
        <v>995</v>
      </c>
      <c r="AL51" s="1"/>
      <c r="AM51" s="124">
        <v>222</v>
      </c>
      <c r="AN51" s="123">
        <v>263</v>
      </c>
      <c r="AO51" s="123">
        <v>288</v>
      </c>
      <c r="AP51" s="123">
        <v>245</v>
      </c>
      <c r="AQ51" s="125">
        <v>1018</v>
      </c>
      <c r="AR51" s="123"/>
      <c r="AS51" s="124">
        <v>234</v>
      </c>
      <c r="AT51" s="123">
        <v>277</v>
      </c>
      <c r="AU51" s="123">
        <v>285</v>
      </c>
      <c r="AV51" s="123">
        <v>298</v>
      </c>
      <c r="AW51" s="125">
        <v>1094</v>
      </c>
      <c r="AX51" s="123"/>
      <c r="AY51" s="124">
        <v>299</v>
      </c>
      <c r="AZ51" s="123">
        <v>356</v>
      </c>
      <c r="BA51" s="123">
        <v>385</v>
      </c>
      <c r="BB51" s="123">
        <v>353</v>
      </c>
      <c r="BC51" s="125">
        <v>1393</v>
      </c>
      <c r="BD51" s="123"/>
      <c r="BE51" s="124">
        <v>322</v>
      </c>
      <c r="BF51" s="123">
        <v>390</v>
      </c>
      <c r="BG51" s="123">
        <v>408</v>
      </c>
      <c r="BH51" s="123">
        <v>354</v>
      </c>
      <c r="BI51" s="125">
        <v>1474</v>
      </c>
      <c r="BJ51" s="123"/>
      <c r="BK51" s="124">
        <v>342</v>
      </c>
      <c r="BL51" s="123">
        <v>404</v>
      </c>
      <c r="BM51" s="123">
        <v>397</v>
      </c>
      <c r="BN51" s="123">
        <v>377</v>
      </c>
      <c r="BO51" s="125">
        <v>1520</v>
      </c>
      <c r="BP51" s="96"/>
      <c r="BQ51" s="124">
        <v>322</v>
      </c>
      <c r="BR51" s="123">
        <v>413</v>
      </c>
      <c r="BS51" s="123">
        <v>467</v>
      </c>
      <c r="BT51" s="123">
        <v>403</v>
      </c>
      <c r="BU51" s="125">
        <v>1605</v>
      </c>
      <c r="BV51" s="126"/>
      <c r="BW51" s="124">
        <v>353</v>
      </c>
      <c r="BX51" s="123">
        <v>435</v>
      </c>
      <c r="BY51" s="123">
        <v>502</v>
      </c>
      <c r="BZ51" s="123">
        <v>428</v>
      </c>
      <c r="CA51" s="125">
        <v>1718</v>
      </c>
      <c r="CB51" s="1"/>
      <c r="CC51" s="124">
        <v>386</v>
      </c>
      <c r="CD51" s="123">
        <v>312</v>
      </c>
      <c r="CE51" s="123">
        <v>485</v>
      </c>
      <c r="CF51" s="123">
        <v>407</v>
      </c>
      <c r="CG51" s="125">
        <v>1590</v>
      </c>
    </row>
    <row r="52" spans="1:85" ht="11.25" customHeight="1">
      <c r="A52" s="52" t="s">
        <v>117</v>
      </c>
      <c r="B52" s="116"/>
      <c r="C52" s="124">
        <v>1</v>
      </c>
      <c r="D52" s="123">
        <v>2</v>
      </c>
      <c r="E52" s="123">
        <v>4</v>
      </c>
      <c r="F52" s="123">
        <v>5</v>
      </c>
      <c r="G52" s="125">
        <v>12</v>
      </c>
      <c r="H52" s="1"/>
      <c r="I52" s="124">
        <v>1</v>
      </c>
      <c r="J52" s="123">
        <v>2</v>
      </c>
      <c r="K52" s="123">
        <v>3</v>
      </c>
      <c r="L52" s="123">
        <v>2</v>
      </c>
      <c r="M52" s="125">
        <v>8</v>
      </c>
      <c r="N52" s="1"/>
      <c r="O52" s="124">
        <v>1</v>
      </c>
      <c r="P52" s="123">
        <v>1</v>
      </c>
      <c r="Q52" s="123">
        <v>1</v>
      </c>
      <c r="R52" s="123">
        <v>3</v>
      </c>
      <c r="S52" s="125">
        <v>6</v>
      </c>
      <c r="T52" s="1"/>
      <c r="U52" s="124">
        <v>1</v>
      </c>
      <c r="V52" s="123">
        <v>1</v>
      </c>
      <c r="W52" s="123">
        <v>1</v>
      </c>
      <c r="X52" s="123">
        <v>2</v>
      </c>
      <c r="Y52" s="125">
        <v>5</v>
      </c>
      <c r="Z52" s="1"/>
      <c r="AA52" s="124">
        <v>1</v>
      </c>
      <c r="AB52" s="123">
        <v>3</v>
      </c>
      <c r="AC52" s="123">
        <v>14</v>
      </c>
      <c r="AD52" s="123">
        <v>6</v>
      </c>
      <c r="AE52" s="125">
        <v>24</v>
      </c>
      <c r="AF52" s="1"/>
      <c r="AG52" s="124">
        <v>6</v>
      </c>
      <c r="AH52" s="123">
        <v>5</v>
      </c>
      <c r="AI52" s="123">
        <v>5</v>
      </c>
      <c r="AJ52" s="123">
        <v>13</v>
      </c>
      <c r="AK52" s="125">
        <v>29</v>
      </c>
      <c r="AL52" s="1"/>
      <c r="AM52" s="124">
        <v>3</v>
      </c>
      <c r="AN52" s="123">
        <v>6</v>
      </c>
      <c r="AO52" s="123">
        <v>7</v>
      </c>
      <c r="AP52" s="123">
        <v>2</v>
      </c>
      <c r="AQ52" s="125">
        <v>18</v>
      </c>
      <c r="AR52" s="123"/>
      <c r="AS52" s="124">
        <v>4</v>
      </c>
      <c r="AT52" s="123">
        <v>9.8000000000000007</v>
      </c>
      <c r="AU52" s="123">
        <v>10</v>
      </c>
      <c r="AV52" s="123">
        <v>7.9</v>
      </c>
      <c r="AW52" s="125">
        <v>31.700000000000003</v>
      </c>
      <c r="AX52" s="123"/>
      <c r="AY52" s="124">
        <v>10</v>
      </c>
      <c r="AZ52" s="123">
        <v>13</v>
      </c>
      <c r="BA52" s="123">
        <v>34</v>
      </c>
      <c r="BB52" s="123">
        <v>18</v>
      </c>
      <c r="BC52" s="125">
        <v>75</v>
      </c>
      <c r="BD52" s="123"/>
      <c r="BE52" s="124">
        <v>15</v>
      </c>
      <c r="BF52" s="123">
        <v>25</v>
      </c>
      <c r="BG52" s="123">
        <v>14</v>
      </c>
      <c r="BH52" s="123">
        <v>12</v>
      </c>
      <c r="BI52" s="125">
        <v>66</v>
      </c>
      <c r="BJ52" s="123"/>
      <c r="BK52" s="124">
        <v>13</v>
      </c>
      <c r="BL52" s="123">
        <v>11</v>
      </c>
      <c r="BM52" s="123">
        <v>11</v>
      </c>
      <c r="BN52" s="123">
        <v>31</v>
      </c>
      <c r="BO52" s="125">
        <v>66</v>
      </c>
      <c r="BP52" s="96"/>
      <c r="BQ52" s="124">
        <v>55</v>
      </c>
      <c r="BR52" s="123">
        <v>77</v>
      </c>
      <c r="BS52" s="123">
        <v>88</v>
      </c>
      <c r="BT52" s="123">
        <v>119</v>
      </c>
      <c r="BU52" s="125">
        <v>339</v>
      </c>
      <c r="BV52" s="126"/>
      <c r="BW52" s="124">
        <v>146</v>
      </c>
      <c r="BX52" s="123">
        <v>130</v>
      </c>
      <c r="BY52" s="123">
        <v>134</v>
      </c>
      <c r="BZ52" s="123">
        <v>179</v>
      </c>
      <c r="CA52" s="125">
        <v>589</v>
      </c>
      <c r="CB52" s="1"/>
      <c r="CC52" s="124">
        <v>167</v>
      </c>
      <c r="CD52" s="123">
        <v>145</v>
      </c>
      <c r="CE52" s="123">
        <v>145</v>
      </c>
      <c r="CF52" s="123">
        <v>188</v>
      </c>
      <c r="CG52" s="125">
        <v>645</v>
      </c>
    </row>
    <row r="53" spans="1:85">
      <c r="A53" s="77" t="s">
        <v>84</v>
      </c>
      <c r="B53" s="116"/>
      <c r="C53" s="127">
        <v>496</v>
      </c>
      <c r="D53" s="128">
        <v>565</v>
      </c>
      <c r="E53" s="128">
        <v>565</v>
      </c>
      <c r="F53" s="128">
        <v>616</v>
      </c>
      <c r="G53" s="129">
        <v>2242</v>
      </c>
      <c r="H53" s="1"/>
      <c r="I53" s="127">
        <v>488</v>
      </c>
      <c r="J53" s="128">
        <v>541</v>
      </c>
      <c r="K53" s="128">
        <v>537</v>
      </c>
      <c r="L53" s="128">
        <v>718</v>
      </c>
      <c r="M53" s="129">
        <v>2284</v>
      </c>
      <c r="N53" s="1"/>
      <c r="O53" s="127">
        <v>548</v>
      </c>
      <c r="P53" s="128">
        <v>595</v>
      </c>
      <c r="Q53" s="128">
        <v>626</v>
      </c>
      <c r="R53" s="128">
        <v>617</v>
      </c>
      <c r="S53" s="129">
        <v>2386</v>
      </c>
      <c r="T53" s="1"/>
      <c r="U53" s="127">
        <v>505</v>
      </c>
      <c r="V53" s="128">
        <v>583.20000000000005</v>
      </c>
      <c r="W53" s="128">
        <v>625</v>
      </c>
      <c r="X53" s="128">
        <v>646</v>
      </c>
      <c r="Y53" s="129">
        <v>2359.1999999999998</v>
      </c>
      <c r="Z53" s="1"/>
      <c r="AA53" s="127">
        <v>574</v>
      </c>
      <c r="AB53" s="128">
        <v>642</v>
      </c>
      <c r="AC53" s="128">
        <v>721</v>
      </c>
      <c r="AD53" s="128">
        <v>653</v>
      </c>
      <c r="AE53" s="129">
        <v>2590</v>
      </c>
      <c r="AF53" s="1"/>
      <c r="AG53" s="127">
        <v>573</v>
      </c>
      <c r="AH53" s="128">
        <v>630</v>
      </c>
      <c r="AI53" s="128">
        <v>626</v>
      </c>
      <c r="AJ53" s="128">
        <v>654</v>
      </c>
      <c r="AK53" s="129">
        <v>2483</v>
      </c>
      <c r="AL53" s="1"/>
      <c r="AM53" s="127">
        <v>565</v>
      </c>
      <c r="AN53" s="128">
        <v>651</v>
      </c>
      <c r="AO53" s="128">
        <v>720</v>
      </c>
      <c r="AP53" s="128">
        <v>700.9</v>
      </c>
      <c r="AQ53" s="129">
        <v>2636.9</v>
      </c>
      <c r="AR53" s="123"/>
      <c r="AS53" s="127">
        <v>633</v>
      </c>
      <c r="AT53" s="128">
        <v>677.8</v>
      </c>
      <c r="AU53" s="128">
        <v>695</v>
      </c>
      <c r="AV53" s="128">
        <v>816.9</v>
      </c>
      <c r="AW53" s="129">
        <v>2822.7</v>
      </c>
      <c r="AX53" s="123"/>
      <c r="AY53" s="127">
        <v>699</v>
      </c>
      <c r="AZ53" s="128">
        <v>855</v>
      </c>
      <c r="BA53" s="128">
        <v>1110</v>
      </c>
      <c r="BB53" s="128">
        <v>1139</v>
      </c>
      <c r="BC53" s="129">
        <v>3803</v>
      </c>
      <c r="BD53" s="123"/>
      <c r="BE53" s="127">
        <v>869</v>
      </c>
      <c r="BF53" s="128">
        <v>1089</v>
      </c>
      <c r="BG53" s="128">
        <v>1079</v>
      </c>
      <c r="BH53" s="128">
        <v>1028</v>
      </c>
      <c r="BI53" s="129">
        <v>4065</v>
      </c>
      <c r="BJ53" s="123"/>
      <c r="BK53" s="127">
        <v>877</v>
      </c>
      <c r="BL53" s="128">
        <v>975</v>
      </c>
      <c r="BM53" s="128">
        <v>1024</v>
      </c>
      <c r="BN53" s="128">
        <v>995</v>
      </c>
      <c r="BO53" s="129">
        <v>3871</v>
      </c>
      <c r="BP53" s="96"/>
      <c r="BQ53" s="127">
        <v>934</v>
      </c>
      <c r="BR53" s="128">
        <v>1055</v>
      </c>
      <c r="BS53" s="128">
        <v>1135</v>
      </c>
      <c r="BT53" s="128">
        <v>1141</v>
      </c>
      <c r="BU53" s="129">
        <v>4265</v>
      </c>
      <c r="BV53" s="126"/>
      <c r="BW53" s="127">
        <v>1042</v>
      </c>
      <c r="BX53" s="128">
        <v>1088</v>
      </c>
      <c r="BY53" s="128">
        <v>1238</v>
      </c>
      <c r="BZ53" s="128">
        <v>1265</v>
      </c>
      <c r="CA53" s="129">
        <v>4633</v>
      </c>
      <c r="CB53" s="1"/>
      <c r="CC53" s="127">
        <v>1168</v>
      </c>
      <c r="CD53" s="128">
        <v>1055</v>
      </c>
      <c r="CE53" s="128">
        <v>1287</v>
      </c>
      <c r="CF53" s="128">
        <v>1426</v>
      </c>
      <c r="CG53" s="129">
        <v>4936</v>
      </c>
    </row>
    <row r="54" spans="1:85">
      <c r="A54" s="52" t="s">
        <v>15</v>
      </c>
      <c r="B54" s="116"/>
      <c r="C54" s="124">
        <v>181</v>
      </c>
      <c r="D54" s="123">
        <v>216.5</v>
      </c>
      <c r="E54" s="123">
        <v>233.4</v>
      </c>
      <c r="F54" s="123">
        <v>235.6</v>
      </c>
      <c r="G54" s="125">
        <v>866.5</v>
      </c>
      <c r="H54" s="1"/>
      <c r="I54" s="124">
        <v>194</v>
      </c>
      <c r="J54" s="123">
        <v>228</v>
      </c>
      <c r="K54" s="123">
        <v>221</v>
      </c>
      <c r="L54" s="123">
        <v>270</v>
      </c>
      <c r="M54" s="125">
        <v>913</v>
      </c>
      <c r="N54" s="1"/>
      <c r="O54" s="124">
        <v>228.6</v>
      </c>
      <c r="P54" s="123">
        <v>251.60000000000002</v>
      </c>
      <c r="Q54" s="123">
        <v>274</v>
      </c>
      <c r="R54" s="123">
        <v>227</v>
      </c>
      <c r="S54" s="125">
        <v>981.2</v>
      </c>
      <c r="T54" s="1"/>
      <c r="U54" s="124">
        <v>214</v>
      </c>
      <c r="V54" s="123">
        <v>241</v>
      </c>
      <c r="W54" s="123">
        <v>268</v>
      </c>
      <c r="X54" s="123">
        <v>279</v>
      </c>
      <c r="Y54" s="125">
        <v>1002</v>
      </c>
      <c r="Z54" s="1"/>
      <c r="AA54" s="124">
        <v>245</v>
      </c>
      <c r="AB54" s="123">
        <v>277</v>
      </c>
      <c r="AC54" s="123">
        <v>290</v>
      </c>
      <c r="AD54" s="123">
        <v>280</v>
      </c>
      <c r="AE54" s="125">
        <v>1092</v>
      </c>
      <c r="AF54" s="1"/>
      <c r="AG54" s="124">
        <v>250</v>
      </c>
      <c r="AH54" s="123">
        <v>281</v>
      </c>
      <c r="AI54" s="123">
        <v>264</v>
      </c>
      <c r="AJ54" s="123">
        <v>293</v>
      </c>
      <c r="AK54" s="125">
        <v>1088</v>
      </c>
      <c r="AL54" s="1"/>
      <c r="AM54" s="124">
        <v>242</v>
      </c>
      <c r="AN54" s="123">
        <v>273</v>
      </c>
      <c r="AO54" s="123">
        <v>301</v>
      </c>
      <c r="AP54" s="123">
        <v>297</v>
      </c>
      <c r="AQ54" s="125">
        <v>1113</v>
      </c>
      <c r="AR54" s="123"/>
      <c r="AS54" s="124">
        <v>271</v>
      </c>
      <c r="AT54" s="123">
        <v>285.2</v>
      </c>
      <c r="AU54" s="123">
        <v>291</v>
      </c>
      <c r="AV54" s="123">
        <v>342</v>
      </c>
      <c r="AW54" s="125">
        <v>1189.2</v>
      </c>
      <c r="AX54" s="123"/>
      <c r="AY54" s="124">
        <v>291</v>
      </c>
      <c r="AZ54" s="123">
        <v>347</v>
      </c>
      <c r="BA54" s="123">
        <v>431</v>
      </c>
      <c r="BB54" s="123">
        <v>441</v>
      </c>
      <c r="BC54" s="125">
        <v>1510</v>
      </c>
      <c r="BD54" s="123"/>
      <c r="BE54" s="124">
        <v>352</v>
      </c>
      <c r="BF54" s="123">
        <v>455</v>
      </c>
      <c r="BG54" s="123">
        <v>455</v>
      </c>
      <c r="BH54" s="123">
        <v>402</v>
      </c>
      <c r="BI54" s="125">
        <v>1664</v>
      </c>
      <c r="BJ54" s="123"/>
      <c r="BK54" s="124">
        <v>351</v>
      </c>
      <c r="BL54" s="123">
        <v>411</v>
      </c>
      <c r="BM54" s="123">
        <v>438</v>
      </c>
      <c r="BN54" s="123">
        <v>401</v>
      </c>
      <c r="BO54" s="125">
        <v>1601</v>
      </c>
      <c r="BP54" s="96"/>
      <c r="BQ54" s="124">
        <v>374</v>
      </c>
      <c r="BR54" s="123">
        <v>441</v>
      </c>
      <c r="BS54" s="123">
        <v>484</v>
      </c>
      <c r="BT54" s="123">
        <v>452</v>
      </c>
      <c r="BU54" s="125">
        <v>1751</v>
      </c>
      <c r="BV54" s="123"/>
      <c r="BW54" s="124">
        <v>417</v>
      </c>
      <c r="BX54" s="123">
        <v>471</v>
      </c>
      <c r="BY54" s="123">
        <v>534</v>
      </c>
      <c r="BZ54" s="123">
        <v>506</v>
      </c>
      <c r="CA54" s="125">
        <v>1928</v>
      </c>
      <c r="CB54" s="1"/>
      <c r="CC54" s="124">
        <v>462</v>
      </c>
      <c r="CD54" s="123">
        <v>408</v>
      </c>
      <c r="CE54" s="123">
        <v>574</v>
      </c>
      <c r="CF54" s="123">
        <v>598</v>
      </c>
      <c r="CG54" s="125">
        <v>2042</v>
      </c>
    </row>
    <row r="55" spans="1:85" s="60" customFormat="1">
      <c r="A55" s="54" t="s">
        <v>85</v>
      </c>
      <c r="B55" s="57"/>
      <c r="C55" s="58">
        <v>0.36491935483870969</v>
      </c>
      <c r="D55" s="57">
        <v>0.38318584070796458</v>
      </c>
      <c r="E55" s="57">
        <v>0.41309734513274338</v>
      </c>
      <c r="F55" s="57">
        <v>0.38246753246753246</v>
      </c>
      <c r="G55" s="59">
        <v>0.38648528099910795</v>
      </c>
      <c r="I55" s="58">
        <v>0.39754098360655737</v>
      </c>
      <c r="J55" s="57">
        <v>0.42144177449168208</v>
      </c>
      <c r="K55" s="57">
        <v>0.41154562383612664</v>
      </c>
      <c r="L55" s="57">
        <v>0.37604456824512533</v>
      </c>
      <c r="M55" s="59">
        <v>0.39973730297723292</v>
      </c>
      <c r="O55" s="58">
        <v>0.41715328467153284</v>
      </c>
      <c r="P55" s="57">
        <v>0.42285714285714288</v>
      </c>
      <c r="Q55" s="57">
        <v>0.43769968051118213</v>
      </c>
      <c r="R55" s="57">
        <v>0.36790923824959482</v>
      </c>
      <c r="S55" s="59">
        <v>0.4112321877619447</v>
      </c>
      <c r="U55" s="58">
        <v>0.42376237623762375</v>
      </c>
      <c r="V55" s="57">
        <v>0.41323731138545949</v>
      </c>
      <c r="W55" s="57">
        <v>0.42880000000000001</v>
      </c>
      <c r="X55" s="57">
        <v>0.43188854489164086</v>
      </c>
      <c r="Y55" s="59">
        <v>0.42472024415055953</v>
      </c>
      <c r="Z55" s="57"/>
      <c r="AA55" s="58">
        <v>0.42682926829268292</v>
      </c>
      <c r="AB55" s="57">
        <v>0.43146417445482865</v>
      </c>
      <c r="AC55" s="57">
        <v>0.40221914008321774</v>
      </c>
      <c r="AD55" s="57">
        <v>0.42879019908116384</v>
      </c>
      <c r="AE55" s="59">
        <v>0.42162162162162165</v>
      </c>
      <c r="AG55" s="58">
        <v>0.43630017452006981</v>
      </c>
      <c r="AH55" s="57">
        <v>0.44603174603174606</v>
      </c>
      <c r="AI55" s="57">
        <v>0.4217252396166134</v>
      </c>
      <c r="AJ55" s="57">
        <v>0.44801223241590216</v>
      </c>
      <c r="AK55" s="59">
        <v>0.43817962142569472</v>
      </c>
      <c r="AL55" s="61"/>
      <c r="AM55" s="58">
        <v>0.42831858407079648</v>
      </c>
      <c r="AN55" s="57">
        <v>0.41935483870967744</v>
      </c>
      <c r="AO55" s="57">
        <v>0.41805555555555557</v>
      </c>
      <c r="AP55" s="57">
        <v>0.42374090455129121</v>
      </c>
      <c r="AQ55" s="59">
        <v>0.42208654101406956</v>
      </c>
      <c r="AR55" s="62"/>
      <c r="AS55" s="58">
        <v>0.42812006319115326</v>
      </c>
      <c r="AT55" s="57">
        <v>0.42077308940690472</v>
      </c>
      <c r="AU55" s="57">
        <v>0.41870503597122299</v>
      </c>
      <c r="AV55" s="57">
        <v>0.41865589423430044</v>
      </c>
      <c r="AW55" s="59">
        <v>0.42129875650972476</v>
      </c>
      <c r="AX55" s="62"/>
      <c r="AY55" s="58">
        <v>0.41630901287553645</v>
      </c>
      <c r="AZ55" s="57">
        <v>0.40584795321637429</v>
      </c>
      <c r="BA55" s="57">
        <v>0.38828828828828826</v>
      </c>
      <c r="BB55" s="57">
        <v>0.3871817383669886</v>
      </c>
      <c r="BC55" s="59">
        <v>0.39705495661320012</v>
      </c>
      <c r="BD55" s="62"/>
      <c r="BE55" s="58">
        <v>0.4050632911392405</v>
      </c>
      <c r="BF55" s="57">
        <v>0.41781450872359965</v>
      </c>
      <c r="BG55" s="57">
        <v>0.42168674698795183</v>
      </c>
      <c r="BH55" s="57">
        <v>0.39105058365758755</v>
      </c>
      <c r="BI55" s="59">
        <v>0.40934809348093482</v>
      </c>
      <c r="BJ55" s="62"/>
      <c r="BK55" s="58">
        <v>0.40022805017103763</v>
      </c>
      <c r="BL55" s="57">
        <v>0.42153846153846153</v>
      </c>
      <c r="BM55" s="57">
        <v>0.427734375</v>
      </c>
      <c r="BN55" s="57">
        <v>0.40301507537688441</v>
      </c>
      <c r="BO55" s="59">
        <v>0.41358822009816587</v>
      </c>
      <c r="BP55" s="63"/>
      <c r="BQ55" s="58">
        <v>0.40042826552462529</v>
      </c>
      <c r="BR55" s="57">
        <v>0.41800947867298577</v>
      </c>
      <c r="BS55" s="57">
        <v>0.42643171806167401</v>
      </c>
      <c r="BT55" s="57">
        <v>0.39614373356704646</v>
      </c>
      <c r="BU55" s="59">
        <v>0.4105509964830012</v>
      </c>
      <c r="BV55" s="64"/>
      <c r="BW55" s="58">
        <v>0.40019193857965452</v>
      </c>
      <c r="BX55" s="72">
        <v>0.4329044117647059</v>
      </c>
      <c r="BY55" s="72">
        <v>0.43134087237479807</v>
      </c>
      <c r="BZ55" s="72">
        <v>0.4</v>
      </c>
      <c r="CA55" s="59">
        <v>0.4161450464062163</v>
      </c>
      <c r="CB55" s="61"/>
      <c r="CC55" s="58">
        <v>0.39554794520547948</v>
      </c>
      <c r="CD55" s="72">
        <v>0.38672985781990521</v>
      </c>
      <c r="CE55" s="72">
        <v>0.44599844599844601</v>
      </c>
      <c r="CF55" s="72">
        <v>0.41935483870967744</v>
      </c>
      <c r="CG55" s="59">
        <v>0.41369529983792547</v>
      </c>
    </row>
    <row r="56" spans="1:85">
      <c r="A56" s="52" t="s">
        <v>21</v>
      </c>
      <c r="B56" s="130"/>
      <c r="C56" s="124">
        <v>141</v>
      </c>
      <c r="D56" s="123">
        <v>146</v>
      </c>
      <c r="E56" s="123">
        <v>127</v>
      </c>
      <c r="F56" s="123">
        <v>140</v>
      </c>
      <c r="G56" s="125">
        <v>554</v>
      </c>
      <c r="H56" s="1"/>
      <c r="I56" s="124">
        <v>146</v>
      </c>
      <c r="J56" s="123">
        <v>148</v>
      </c>
      <c r="K56" s="123">
        <v>150</v>
      </c>
      <c r="L56" s="123">
        <v>150</v>
      </c>
      <c r="M56" s="125">
        <v>594</v>
      </c>
      <c r="N56" s="1"/>
      <c r="O56" s="124">
        <v>139</v>
      </c>
      <c r="P56" s="123">
        <v>143</v>
      </c>
      <c r="Q56" s="123">
        <v>124</v>
      </c>
      <c r="R56" s="123">
        <v>119</v>
      </c>
      <c r="S56" s="125">
        <v>525</v>
      </c>
      <c r="T56" s="1"/>
      <c r="U56" s="124">
        <v>139</v>
      </c>
      <c r="V56" s="123">
        <v>147</v>
      </c>
      <c r="W56" s="123">
        <v>145</v>
      </c>
      <c r="X56" s="123">
        <v>183</v>
      </c>
      <c r="Y56" s="125">
        <v>614</v>
      </c>
      <c r="Z56" s="1"/>
      <c r="AA56" s="124">
        <v>148</v>
      </c>
      <c r="AB56" s="123">
        <v>146</v>
      </c>
      <c r="AC56" s="123">
        <v>138</v>
      </c>
      <c r="AD56" s="123">
        <v>151</v>
      </c>
      <c r="AE56" s="125">
        <v>583</v>
      </c>
      <c r="AF56" s="1"/>
      <c r="AG56" s="124">
        <v>144</v>
      </c>
      <c r="AH56" s="123">
        <v>148</v>
      </c>
      <c r="AI56" s="123">
        <v>136</v>
      </c>
      <c r="AJ56" s="123">
        <v>146</v>
      </c>
      <c r="AK56" s="125">
        <v>574</v>
      </c>
      <c r="AL56" s="1"/>
      <c r="AM56" s="124">
        <v>148</v>
      </c>
      <c r="AN56" s="123">
        <v>147</v>
      </c>
      <c r="AO56" s="123">
        <v>141</v>
      </c>
      <c r="AP56" s="123">
        <v>151</v>
      </c>
      <c r="AQ56" s="125">
        <v>587</v>
      </c>
      <c r="AR56" s="123"/>
      <c r="AS56" s="124">
        <v>160</v>
      </c>
      <c r="AT56" s="123">
        <v>154</v>
      </c>
      <c r="AU56" s="123">
        <v>144</v>
      </c>
      <c r="AV56" s="123">
        <v>170</v>
      </c>
      <c r="AW56" s="125">
        <v>628</v>
      </c>
      <c r="AX56" s="123"/>
      <c r="AY56" s="124">
        <v>183</v>
      </c>
      <c r="AZ56" s="123">
        <v>183</v>
      </c>
      <c r="BA56" s="123">
        <v>184</v>
      </c>
      <c r="BB56" s="123">
        <v>199</v>
      </c>
      <c r="BC56" s="125">
        <v>749</v>
      </c>
      <c r="BD56" s="123"/>
      <c r="BE56" s="124">
        <v>205</v>
      </c>
      <c r="BF56" s="123">
        <v>218</v>
      </c>
      <c r="BG56" s="123">
        <v>194</v>
      </c>
      <c r="BH56" s="123">
        <v>204</v>
      </c>
      <c r="BI56" s="125">
        <v>821</v>
      </c>
      <c r="BJ56" s="123"/>
      <c r="BK56" s="124">
        <v>207</v>
      </c>
      <c r="BL56" s="123">
        <v>220</v>
      </c>
      <c r="BM56" s="123">
        <v>202</v>
      </c>
      <c r="BN56" s="123">
        <v>266</v>
      </c>
      <c r="BO56" s="125">
        <v>895</v>
      </c>
      <c r="BP56" s="96"/>
      <c r="BQ56" s="124">
        <v>253</v>
      </c>
      <c r="BR56" s="123">
        <v>259</v>
      </c>
      <c r="BS56" s="123">
        <v>240</v>
      </c>
      <c r="BT56" s="123">
        <v>273</v>
      </c>
      <c r="BU56" s="125">
        <v>1025</v>
      </c>
      <c r="BV56" s="123"/>
      <c r="BW56" s="124">
        <v>278</v>
      </c>
      <c r="BX56" s="123">
        <v>288</v>
      </c>
      <c r="BY56" s="123">
        <v>264</v>
      </c>
      <c r="BZ56" s="123">
        <v>290</v>
      </c>
      <c r="CA56" s="125">
        <v>1120</v>
      </c>
      <c r="CB56" s="1"/>
      <c r="CC56" s="124">
        <v>311</v>
      </c>
      <c r="CD56" s="123">
        <v>290</v>
      </c>
      <c r="CE56" s="123">
        <v>258</v>
      </c>
      <c r="CF56" s="123">
        <v>302</v>
      </c>
      <c r="CG56" s="125">
        <v>1161</v>
      </c>
    </row>
    <row r="57" spans="1:85">
      <c r="A57" s="77" t="s">
        <v>86</v>
      </c>
      <c r="B57" s="116"/>
      <c r="C57" s="127">
        <v>40</v>
      </c>
      <c r="D57" s="128">
        <v>70.5</v>
      </c>
      <c r="E57" s="128">
        <v>106.4</v>
      </c>
      <c r="F57" s="128">
        <v>95.6</v>
      </c>
      <c r="G57" s="129">
        <v>312.5</v>
      </c>
      <c r="H57" s="1"/>
      <c r="I57" s="127">
        <v>48</v>
      </c>
      <c r="J57" s="128">
        <v>80</v>
      </c>
      <c r="K57" s="128">
        <v>71</v>
      </c>
      <c r="L57" s="128">
        <v>120</v>
      </c>
      <c r="M57" s="129">
        <v>319</v>
      </c>
      <c r="N57" s="1"/>
      <c r="O57" s="127">
        <v>89.6</v>
      </c>
      <c r="P57" s="128">
        <v>108.60000000000002</v>
      </c>
      <c r="Q57" s="128">
        <v>150</v>
      </c>
      <c r="R57" s="128">
        <v>108</v>
      </c>
      <c r="S57" s="129">
        <v>456.20000000000005</v>
      </c>
      <c r="T57" s="1"/>
      <c r="U57" s="127">
        <v>75</v>
      </c>
      <c r="V57" s="128">
        <v>94</v>
      </c>
      <c r="W57" s="128">
        <v>123</v>
      </c>
      <c r="X57" s="128">
        <v>96</v>
      </c>
      <c r="Y57" s="129">
        <v>388</v>
      </c>
      <c r="Z57" s="1"/>
      <c r="AA57" s="127">
        <v>97</v>
      </c>
      <c r="AB57" s="128">
        <v>131</v>
      </c>
      <c r="AC57" s="128">
        <v>152</v>
      </c>
      <c r="AD57" s="128">
        <v>129</v>
      </c>
      <c r="AE57" s="129">
        <v>509</v>
      </c>
      <c r="AF57" s="1"/>
      <c r="AG57" s="127">
        <v>106</v>
      </c>
      <c r="AH57" s="128">
        <v>133</v>
      </c>
      <c r="AI57" s="128">
        <v>128</v>
      </c>
      <c r="AJ57" s="128">
        <v>147</v>
      </c>
      <c r="AK57" s="129">
        <v>514</v>
      </c>
      <c r="AL57" s="1"/>
      <c r="AM57" s="127">
        <v>94</v>
      </c>
      <c r="AN57" s="128">
        <v>126</v>
      </c>
      <c r="AO57" s="128">
        <v>160</v>
      </c>
      <c r="AP57" s="128">
        <v>146</v>
      </c>
      <c r="AQ57" s="129">
        <v>526</v>
      </c>
      <c r="AR57" s="123"/>
      <c r="AS57" s="127">
        <v>111</v>
      </c>
      <c r="AT57" s="128">
        <v>131.19999999999999</v>
      </c>
      <c r="AU57" s="128">
        <v>147</v>
      </c>
      <c r="AV57" s="128">
        <v>172</v>
      </c>
      <c r="AW57" s="129">
        <v>561.20000000000005</v>
      </c>
      <c r="AX57" s="123"/>
      <c r="AY57" s="127">
        <v>108</v>
      </c>
      <c r="AZ57" s="128">
        <v>164</v>
      </c>
      <c r="BA57" s="128">
        <v>247</v>
      </c>
      <c r="BB57" s="128">
        <v>242</v>
      </c>
      <c r="BC57" s="129">
        <v>761</v>
      </c>
      <c r="BD57" s="123"/>
      <c r="BE57" s="127">
        <v>147</v>
      </c>
      <c r="BF57" s="128">
        <v>237</v>
      </c>
      <c r="BG57" s="128">
        <v>261</v>
      </c>
      <c r="BH57" s="128">
        <v>198</v>
      </c>
      <c r="BI57" s="129">
        <v>843</v>
      </c>
      <c r="BJ57" s="123"/>
      <c r="BK57" s="127">
        <v>144</v>
      </c>
      <c r="BL57" s="128">
        <v>191</v>
      </c>
      <c r="BM57" s="128">
        <v>236</v>
      </c>
      <c r="BN57" s="128">
        <v>135</v>
      </c>
      <c r="BO57" s="129">
        <v>706</v>
      </c>
      <c r="BP57" s="96"/>
      <c r="BQ57" s="127">
        <v>121</v>
      </c>
      <c r="BR57" s="128">
        <v>182</v>
      </c>
      <c r="BS57" s="128">
        <v>244</v>
      </c>
      <c r="BT57" s="128">
        <v>179</v>
      </c>
      <c r="BU57" s="129">
        <v>726</v>
      </c>
      <c r="BV57" s="123"/>
      <c r="BW57" s="127">
        <v>139</v>
      </c>
      <c r="BX57" s="128">
        <v>183</v>
      </c>
      <c r="BY57" s="128">
        <v>270</v>
      </c>
      <c r="BZ57" s="128">
        <v>216</v>
      </c>
      <c r="CA57" s="129">
        <v>808</v>
      </c>
      <c r="CB57" s="1"/>
      <c r="CC57" s="127">
        <v>151</v>
      </c>
      <c r="CD57" s="128">
        <v>118</v>
      </c>
      <c r="CE57" s="128">
        <v>316</v>
      </c>
      <c r="CF57" s="128">
        <v>296</v>
      </c>
      <c r="CG57" s="129">
        <v>881</v>
      </c>
    </row>
    <row r="58" spans="1:85" s="60" customFormat="1">
      <c r="A58" s="54" t="s">
        <v>85</v>
      </c>
      <c r="C58" s="58">
        <v>8.0645161290322578E-2</v>
      </c>
      <c r="D58" s="57">
        <v>0.12477876106194691</v>
      </c>
      <c r="E58" s="57">
        <v>0.18831858407079646</v>
      </c>
      <c r="F58" s="57">
        <v>0.15519480519480519</v>
      </c>
      <c r="G58" s="59">
        <v>0.13938447814451382</v>
      </c>
      <c r="I58" s="58">
        <v>9.8360655737704916E-2</v>
      </c>
      <c r="J58" s="57">
        <v>0.1478743068391867</v>
      </c>
      <c r="K58" s="57">
        <v>0.13221601489757914</v>
      </c>
      <c r="L58" s="57">
        <v>0.16713091922005571</v>
      </c>
      <c r="M58" s="59">
        <v>0.13966725043782838</v>
      </c>
      <c r="O58" s="58">
        <v>0.1635036496350365</v>
      </c>
      <c r="P58" s="57">
        <v>0.18252100840336138</v>
      </c>
      <c r="Q58" s="57">
        <v>0.23961661341853036</v>
      </c>
      <c r="R58" s="57">
        <v>0.17504051863857376</v>
      </c>
      <c r="S58" s="59">
        <v>0.19119865884325232</v>
      </c>
      <c r="U58" s="58">
        <v>0.14851485148514851</v>
      </c>
      <c r="V58" s="57">
        <v>0.16117969821673525</v>
      </c>
      <c r="W58" s="57">
        <v>0.1968</v>
      </c>
      <c r="X58" s="57">
        <v>0.14860681114551083</v>
      </c>
      <c r="Y58" s="59">
        <v>0.16446252967107494</v>
      </c>
      <c r="Z58" s="57"/>
      <c r="AA58" s="58">
        <v>0.16898954703832753</v>
      </c>
      <c r="AB58" s="57">
        <v>0.20404984423676012</v>
      </c>
      <c r="AC58" s="57">
        <v>0.21081830790568654</v>
      </c>
      <c r="AD58" s="57">
        <v>0.19754977029096477</v>
      </c>
      <c r="AE58" s="59">
        <v>0.19652509652509653</v>
      </c>
      <c r="AG58" s="58">
        <v>0.18499127399650961</v>
      </c>
      <c r="AH58" s="57">
        <v>0.21111111111111111</v>
      </c>
      <c r="AI58" s="57">
        <v>0.20447284345047922</v>
      </c>
      <c r="AJ58" s="57">
        <v>0.22477064220183487</v>
      </c>
      <c r="AK58" s="59">
        <v>0.20700765203383004</v>
      </c>
      <c r="AM58" s="58">
        <v>0.1663716814159292</v>
      </c>
      <c r="AN58" s="57">
        <v>0.19354838709677419</v>
      </c>
      <c r="AO58" s="57">
        <v>0.22222222222222221</v>
      </c>
      <c r="AP58" s="57">
        <v>0.20830360964474248</v>
      </c>
      <c r="AQ58" s="59">
        <v>0.1994766581971254</v>
      </c>
      <c r="AR58" s="62"/>
      <c r="AS58" s="58">
        <v>0.17535545023696683</v>
      </c>
      <c r="AT58" s="57">
        <v>0.19356742401888463</v>
      </c>
      <c r="AU58" s="57">
        <v>0.21151079136690648</v>
      </c>
      <c r="AV58" s="57">
        <v>0.21055208715877097</v>
      </c>
      <c r="AW58" s="59">
        <v>0.19881673574945977</v>
      </c>
      <c r="AX58" s="62"/>
      <c r="AY58" s="58">
        <v>0.15450643776824036</v>
      </c>
      <c r="AZ58" s="57">
        <v>0.19181286549707602</v>
      </c>
      <c r="BA58" s="57">
        <v>0.22252252252252253</v>
      </c>
      <c r="BB58" s="57">
        <v>0.21246707638279191</v>
      </c>
      <c r="BC58" s="59">
        <v>0.20010518012095713</v>
      </c>
      <c r="BD58" s="62"/>
      <c r="BE58" s="58">
        <v>0.16915995397008055</v>
      </c>
      <c r="BF58" s="57">
        <v>0.21763085399449036</v>
      </c>
      <c r="BG58" s="57">
        <v>0.24189063948100092</v>
      </c>
      <c r="BH58" s="57">
        <v>0.19260700389105059</v>
      </c>
      <c r="BI58" s="59">
        <v>0.207380073800738</v>
      </c>
      <c r="BJ58" s="62"/>
      <c r="BK58" s="58">
        <v>0.16419612314709237</v>
      </c>
      <c r="BL58" s="57">
        <v>0.19589743589743588</v>
      </c>
      <c r="BM58" s="57">
        <v>0.23046875</v>
      </c>
      <c r="BN58" s="57">
        <v>0.135678391959799</v>
      </c>
      <c r="BO58" s="59">
        <v>0.18238181348488763</v>
      </c>
      <c r="BP58" s="57"/>
      <c r="BQ58" s="58">
        <v>0.12955032119914348</v>
      </c>
      <c r="BR58" s="57">
        <v>0.17251184834123223</v>
      </c>
      <c r="BS58" s="57">
        <v>0.21497797356828194</v>
      </c>
      <c r="BT58" s="57">
        <v>0.15687992988606486</v>
      </c>
      <c r="BU58" s="59">
        <v>0.17022274325908557</v>
      </c>
      <c r="BV58" s="57"/>
      <c r="BW58" s="58">
        <v>0.13339731285988485</v>
      </c>
      <c r="BX58" s="72">
        <v>0.16819852941176472</v>
      </c>
      <c r="BY58" s="72">
        <v>0.21809369951534732</v>
      </c>
      <c r="BZ58" s="72">
        <v>0.1707509881422925</v>
      </c>
      <c r="CA58" s="59">
        <v>0.17440103604575868</v>
      </c>
      <c r="CB58" s="61"/>
      <c r="CC58" s="58">
        <v>0.12928082191780821</v>
      </c>
      <c r="CD58" s="72">
        <v>0.11184834123222749</v>
      </c>
      <c r="CE58" s="72">
        <v>0.24553224553224554</v>
      </c>
      <c r="CF58" s="72">
        <v>0.20757363253856942</v>
      </c>
      <c r="CG58" s="59">
        <v>0.17848460291734197</v>
      </c>
    </row>
    <row r="59" spans="1:85">
      <c r="A59" s="52" t="s">
        <v>34</v>
      </c>
      <c r="B59" s="1"/>
      <c r="C59" s="124">
        <v>6</v>
      </c>
      <c r="D59" s="123">
        <v>6.5</v>
      </c>
      <c r="E59" s="123">
        <v>6.4000000000000057</v>
      </c>
      <c r="F59" s="123">
        <v>5.5999999999999943</v>
      </c>
      <c r="G59" s="125">
        <v>24.5</v>
      </c>
      <c r="H59" s="1"/>
      <c r="I59" s="124">
        <v>5</v>
      </c>
      <c r="J59" s="123">
        <v>4</v>
      </c>
      <c r="K59" s="123">
        <v>5</v>
      </c>
      <c r="L59" s="123">
        <v>13</v>
      </c>
      <c r="M59" s="125">
        <v>27</v>
      </c>
      <c r="N59" s="1"/>
      <c r="O59" s="124">
        <v>3.5999999999999943</v>
      </c>
      <c r="P59" s="123">
        <v>4.5999999999999943</v>
      </c>
      <c r="Q59" s="123">
        <v>4</v>
      </c>
      <c r="R59" s="123">
        <v>19</v>
      </c>
      <c r="S59" s="125">
        <v>31.199999999999989</v>
      </c>
      <c r="T59" s="1"/>
      <c r="U59" s="124">
        <v>3</v>
      </c>
      <c r="V59" s="123">
        <v>4</v>
      </c>
      <c r="W59" s="123">
        <v>3</v>
      </c>
      <c r="X59" s="123">
        <v>4</v>
      </c>
      <c r="Y59" s="125">
        <v>14</v>
      </c>
      <c r="Z59" s="130"/>
      <c r="AA59" s="124">
        <v>3</v>
      </c>
      <c r="AB59" s="123">
        <v>3</v>
      </c>
      <c r="AC59" s="123">
        <v>4</v>
      </c>
      <c r="AD59" s="123">
        <v>10</v>
      </c>
      <c r="AE59" s="125">
        <v>20</v>
      </c>
      <c r="AF59" s="1"/>
      <c r="AG59" s="124">
        <v>7</v>
      </c>
      <c r="AH59" s="123">
        <v>6</v>
      </c>
      <c r="AI59" s="123">
        <v>7</v>
      </c>
      <c r="AJ59" s="123">
        <v>10</v>
      </c>
      <c r="AK59" s="125">
        <v>30</v>
      </c>
      <c r="AL59" s="1"/>
      <c r="AM59" s="124">
        <v>8</v>
      </c>
      <c r="AN59" s="123">
        <v>8</v>
      </c>
      <c r="AO59" s="123">
        <v>9</v>
      </c>
      <c r="AP59" s="123">
        <v>7.7</v>
      </c>
      <c r="AQ59" s="125">
        <v>32.700000000000003</v>
      </c>
      <c r="AR59" s="123"/>
      <c r="AS59" s="124">
        <v>9</v>
      </c>
      <c r="AT59" s="123">
        <v>8</v>
      </c>
      <c r="AU59" s="123">
        <v>9</v>
      </c>
      <c r="AV59" s="123">
        <v>7.7999999999999989</v>
      </c>
      <c r="AW59" s="125">
        <v>33.799999999999997</v>
      </c>
      <c r="AX59" s="123"/>
      <c r="AY59" s="124">
        <v>9</v>
      </c>
      <c r="AZ59" s="123">
        <v>9</v>
      </c>
      <c r="BA59" s="123">
        <v>12</v>
      </c>
      <c r="BB59" s="123">
        <v>11</v>
      </c>
      <c r="BC59" s="125">
        <v>41</v>
      </c>
      <c r="BD59" s="123"/>
      <c r="BE59" s="124">
        <v>11</v>
      </c>
      <c r="BF59" s="123">
        <v>11</v>
      </c>
      <c r="BG59" s="123">
        <v>14</v>
      </c>
      <c r="BH59" s="123">
        <v>12</v>
      </c>
      <c r="BI59" s="125">
        <v>48</v>
      </c>
      <c r="BJ59" s="123"/>
      <c r="BK59" s="124">
        <v>12</v>
      </c>
      <c r="BL59" s="123">
        <v>14</v>
      </c>
      <c r="BM59" s="123">
        <v>15</v>
      </c>
      <c r="BN59" s="123">
        <v>16</v>
      </c>
      <c r="BO59" s="125">
        <v>57</v>
      </c>
      <c r="BP59" s="96"/>
      <c r="BQ59" s="124">
        <v>16</v>
      </c>
      <c r="BR59" s="123">
        <v>16</v>
      </c>
      <c r="BS59" s="123">
        <v>17</v>
      </c>
      <c r="BT59" s="123">
        <v>20.400000000000006</v>
      </c>
      <c r="BU59" s="125">
        <v>69.400000000000006</v>
      </c>
      <c r="BV59" s="123"/>
      <c r="BW59" s="124">
        <v>23</v>
      </c>
      <c r="BX59" s="123">
        <v>23</v>
      </c>
      <c r="BY59" s="123">
        <v>23</v>
      </c>
      <c r="BZ59" s="123">
        <v>23</v>
      </c>
      <c r="CA59" s="125">
        <v>92</v>
      </c>
      <c r="CB59" s="1"/>
      <c r="CC59" s="124">
        <v>29</v>
      </c>
      <c r="CD59" s="123">
        <v>35</v>
      </c>
      <c r="CE59" s="123">
        <v>30</v>
      </c>
      <c r="CF59" s="123">
        <v>29</v>
      </c>
      <c r="CG59" s="125">
        <v>123</v>
      </c>
    </row>
    <row r="60" spans="1:85">
      <c r="A60" s="52" t="s">
        <v>180</v>
      </c>
      <c r="B60" s="1"/>
      <c r="C60" s="131">
        <v>34</v>
      </c>
      <c r="D60" s="80">
        <v>64</v>
      </c>
      <c r="E60" s="80">
        <v>100</v>
      </c>
      <c r="F60" s="80">
        <v>90</v>
      </c>
      <c r="G60" s="132">
        <v>288</v>
      </c>
      <c r="H60" s="1"/>
      <c r="I60" s="131">
        <v>43</v>
      </c>
      <c r="J60" s="80">
        <v>76</v>
      </c>
      <c r="K60" s="80">
        <v>66</v>
      </c>
      <c r="L60" s="80">
        <v>107</v>
      </c>
      <c r="M60" s="132">
        <v>292</v>
      </c>
      <c r="N60" s="1"/>
      <c r="O60" s="131">
        <v>86</v>
      </c>
      <c r="P60" s="80">
        <v>104.00000000000003</v>
      </c>
      <c r="Q60" s="80">
        <v>146</v>
      </c>
      <c r="R60" s="80">
        <v>89</v>
      </c>
      <c r="S60" s="132">
        <v>425.00000000000006</v>
      </c>
      <c r="T60" s="1"/>
      <c r="U60" s="131">
        <v>72</v>
      </c>
      <c r="V60" s="80">
        <v>90</v>
      </c>
      <c r="W60" s="80">
        <v>120</v>
      </c>
      <c r="X60" s="80">
        <v>92</v>
      </c>
      <c r="Y60" s="132">
        <v>374</v>
      </c>
      <c r="Z60" s="130"/>
      <c r="AA60" s="131">
        <v>94</v>
      </c>
      <c r="AB60" s="80">
        <v>128</v>
      </c>
      <c r="AC60" s="80">
        <v>148</v>
      </c>
      <c r="AD60" s="80">
        <v>119</v>
      </c>
      <c r="AE60" s="132">
        <v>489</v>
      </c>
      <c r="AF60" s="1"/>
      <c r="AG60" s="131">
        <v>99</v>
      </c>
      <c r="AH60" s="80">
        <v>127</v>
      </c>
      <c r="AI60" s="80">
        <v>121</v>
      </c>
      <c r="AJ60" s="80">
        <v>137</v>
      </c>
      <c r="AK60" s="132">
        <v>484</v>
      </c>
      <c r="AL60" s="1"/>
      <c r="AM60" s="131">
        <v>86</v>
      </c>
      <c r="AN60" s="80">
        <v>118</v>
      </c>
      <c r="AO60" s="80">
        <v>151</v>
      </c>
      <c r="AP60" s="80">
        <v>138.30000000000001</v>
      </c>
      <c r="AQ60" s="132">
        <v>493.3</v>
      </c>
      <c r="AR60" s="123"/>
      <c r="AS60" s="131">
        <v>102</v>
      </c>
      <c r="AT60" s="80">
        <v>123.19999999999999</v>
      </c>
      <c r="AU60" s="80">
        <v>138</v>
      </c>
      <c r="AV60" s="80">
        <v>164.2</v>
      </c>
      <c r="AW60" s="132">
        <v>527.40000000000009</v>
      </c>
      <c r="AX60" s="123"/>
      <c r="AY60" s="131">
        <v>99</v>
      </c>
      <c r="AZ60" s="80">
        <v>155</v>
      </c>
      <c r="BA60" s="80">
        <v>235</v>
      </c>
      <c r="BB60" s="80">
        <v>231</v>
      </c>
      <c r="BC60" s="132">
        <v>720</v>
      </c>
      <c r="BD60" s="123"/>
      <c r="BE60" s="131">
        <v>136</v>
      </c>
      <c r="BF60" s="80">
        <v>226</v>
      </c>
      <c r="BG60" s="80">
        <v>247</v>
      </c>
      <c r="BH60" s="80">
        <v>186</v>
      </c>
      <c r="BI60" s="132">
        <v>795</v>
      </c>
      <c r="BJ60" s="123"/>
      <c r="BK60" s="131">
        <v>132</v>
      </c>
      <c r="BL60" s="80">
        <v>177</v>
      </c>
      <c r="BM60" s="80">
        <v>221</v>
      </c>
      <c r="BN60" s="80">
        <v>119</v>
      </c>
      <c r="BO60" s="132">
        <v>649</v>
      </c>
      <c r="BP60" s="96"/>
      <c r="BQ60" s="131">
        <v>105</v>
      </c>
      <c r="BR60" s="80">
        <v>166</v>
      </c>
      <c r="BS60" s="80">
        <v>227</v>
      </c>
      <c r="BT60" s="80">
        <v>158.6</v>
      </c>
      <c r="BU60" s="132">
        <v>656.6</v>
      </c>
      <c r="BV60" s="123"/>
      <c r="BW60" s="131">
        <v>116</v>
      </c>
      <c r="BX60" s="133">
        <v>160</v>
      </c>
      <c r="BY60" s="133">
        <v>247</v>
      </c>
      <c r="BZ60" s="133">
        <v>193</v>
      </c>
      <c r="CA60" s="132">
        <v>716</v>
      </c>
      <c r="CB60" s="1"/>
      <c r="CC60" s="131">
        <v>122</v>
      </c>
      <c r="CD60" s="133">
        <v>83</v>
      </c>
      <c r="CE60" s="133">
        <v>286</v>
      </c>
      <c r="CF60" s="133">
        <v>267</v>
      </c>
      <c r="CG60" s="132">
        <v>758</v>
      </c>
    </row>
    <row r="61" spans="1:85" s="60" customFormat="1">
      <c r="A61" s="54" t="s">
        <v>85</v>
      </c>
      <c r="C61" s="58">
        <v>6.8548387096774188E-2</v>
      </c>
      <c r="D61" s="57">
        <v>0.11327433628318584</v>
      </c>
      <c r="E61" s="57">
        <v>0.17699115044247787</v>
      </c>
      <c r="F61" s="57">
        <v>0.1461038961038961</v>
      </c>
      <c r="G61" s="59">
        <v>0.12845673505798394</v>
      </c>
      <c r="I61" s="58">
        <v>8.8114754098360656E-2</v>
      </c>
      <c r="J61" s="57">
        <v>0.14048059149722736</v>
      </c>
      <c r="K61" s="57">
        <v>0.12290502793296089</v>
      </c>
      <c r="L61" s="57">
        <v>0.14902506963788301</v>
      </c>
      <c r="M61" s="59">
        <v>0.12784588441330999</v>
      </c>
      <c r="O61" s="58">
        <v>0.15693430656934307</v>
      </c>
      <c r="P61" s="57">
        <v>0.1747899159663866</v>
      </c>
      <c r="Q61" s="57">
        <v>0.23322683706070288</v>
      </c>
      <c r="R61" s="57">
        <v>0.14424635332252836</v>
      </c>
      <c r="S61" s="59">
        <v>0.17812238055322718</v>
      </c>
      <c r="U61" s="58">
        <v>0.14257425742574256</v>
      </c>
      <c r="V61" s="57">
        <v>0.15432098765432098</v>
      </c>
      <c r="W61" s="57">
        <v>0.192</v>
      </c>
      <c r="X61" s="57">
        <v>0.14241486068111456</v>
      </c>
      <c r="Y61" s="59">
        <v>0.15852831468294337</v>
      </c>
      <c r="Z61" s="57"/>
      <c r="AA61" s="58">
        <v>0.16376306620209058</v>
      </c>
      <c r="AB61" s="57">
        <v>0.19937694704049844</v>
      </c>
      <c r="AC61" s="57">
        <v>0.20527045769764216</v>
      </c>
      <c r="AD61" s="57">
        <v>0.18223583460949463</v>
      </c>
      <c r="AE61" s="59">
        <v>0.1888030888030888</v>
      </c>
      <c r="AG61" s="58">
        <v>0.17277486910994763</v>
      </c>
      <c r="AH61" s="57">
        <v>0.20158730158730159</v>
      </c>
      <c r="AI61" s="57">
        <v>0.19329073482428116</v>
      </c>
      <c r="AJ61" s="57">
        <v>0.20948012232415902</v>
      </c>
      <c r="AK61" s="59">
        <v>0.19492549335481274</v>
      </c>
      <c r="AM61" s="58">
        <v>0.15221238938053097</v>
      </c>
      <c r="AN61" s="57">
        <v>0.18125960061443933</v>
      </c>
      <c r="AO61" s="57">
        <v>0.20972222222222223</v>
      </c>
      <c r="AP61" s="57">
        <v>0.19731773434156089</v>
      </c>
      <c r="AQ61" s="59">
        <v>0.18707573286814061</v>
      </c>
      <c r="AR61" s="64"/>
      <c r="AS61" s="58">
        <v>0.16113744075829384</v>
      </c>
      <c r="AT61" s="57">
        <v>0.18176453231041606</v>
      </c>
      <c r="AU61" s="57">
        <v>0.19856115107913669</v>
      </c>
      <c r="AV61" s="57">
        <v>0.20100379483412903</v>
      </c>
      <c r="AW61" s="59">
        <v>0.18684238495057928</v>
      </c>
      <c r="AX61" s="64"/>
      <c r="AY61" s="58">
        <v>0.14163090128755365</v>
      </c>
      <c r="AZ61" s="57">
        <v>0.18128654970760233</v>
      </c>
      <c r="BA61" s="57">
        <v>0.21171171171171171</v>
      </c>
      <c r="BB61" s="57">
        <v>0.20280948200175591</v>
      </c>
      <c r="BC61" s="59">
        <v>0.18932421772285038</v>
      </c>
      <c r="BD61" s="64"/>
      <c r="BE61" s="58">
        <v>0.1565017261219793</v>
      </c>
      <c r="BF61" s="57">
        <v>0.20752984389348025</v>
      </c>
      <c r="BG61" s="57">
        <v>0.2289156626506024</v>
      </c>
      <c r="BH61" s="57">
        <v>0.18093385214007782</v>
      </c>
      <c r="BI61" s="59">
        <v>0.19557195571955718</v>
      </c>
      <c r="BJ61" s="64"/>
      <c r="BK61" s="58">
        <v>0.15051311288483465</v>
      </c>
      <c r="BL61" s="57">
        <v>0.18153846153846154</v>
      </c>
      <c r="BM61" s="57">
        <v>0.2158203125</v>
      </c>
      <c r="BN61" s="57">
        <v>0.11959798994974874</v>
      </c>
      <c r="BO61" s="59">
        <v>0.1676569361921984</v>
      </c>
      <c r="BP61" s="63"/>
      <c r="BQ61" s="58">
        <v>0.11241970021413276</v>
      </c>
      <c r="BR61" s="57">
        <v>0.15734597156398103</v>
      </c>
      <c r="BS61" s="57">
        <v>0.2</v>
      </c>
      <c r="BT61" s="57">
        <v>0.13900087642418929</v>
      </c>
      <c r="BU61" s="59">
        <v>0.15395076201641267</v>
      </c>
      <c r="BV61" s="64"/>
      <c r="BW61" s="58">
        <v>0.11132437619961612</v>
      </c>
      <c r="BX61" s="72">
        <v>0.14705882352941177</v>
      </c>
      <c r="BY61" s="72">
        <v>0.19951534733441034</v>
      </c>
      <c r="BZ61" s="72">
        <v>0.15256916996047432</v>
      </c>
      <c r="CA61" s="59">
        <v>0.15454349233757825</v>
      </c>
      <c r="CC61" s="58">
        <v>0.10445205479452055</v>
      </c>
      <c r="CD61" s="72">
        <v>7.8672985781990515E-2</v>
      </c>
      <c r="CE61" s="72">
        <v>0.22222222222222221</v>
      </c>
      <c r="CF61" s="72">
        <v>0.18723702664796635</v>
      </c>
      <c r="CG61" s="59">
        <v>0.15356564019448946</v>
      </c>
    </row>
    <row r="62" spans="1:85" ht="5.25" customHeight="1">
      <c r="A62" s="52"/>
      <c r="B62" s="134"/>
      <c r="C62" s="135"/>
      <c r="D62" s="134"/>
      <c r="E62" s="134"/>
      <c r="F62" s="134"/>
      <c r="G62" s="136"/>
      <c r="H62" s="1"/>
      <c r="I62" s="135"/>
      <c r="J62" s="134"/>
      <c r="K62" s="134"/>
      <c r="L62" s="134"/>
      <c r="M62" s="136"/>
      <c r="N62" s="1"/>
      <c r="O62" s="135"/>
      <c r="P62" s="134"/>
      <c r="Q62" s="134"/>
      <c r="R62" s="134"/>
      <c r="S62" s="136"/>
      <c r="T62" s="1"/>
      <c r="U62" s="135"/>
      <c r="V62" s="134"/>
      <c r="W62" s="134"/>
      <c r="X62" s="134"/>
      <c r="Y62" s="136"/>
      <c r="Z62" s="1"/>
      <c r="AA62" s="135"/>
      <c r="AB62" s="134"/>
      <c r="AC62" s="134"/>
      <c r="AD62" s="134"/>
      <c r="AE62" s="136"/>
      <c r="AF62" s="1"/>
      <c r="AG62" s="135"/>
      <c r="AH62" s="134"/>
      <c r="AI62" s="134"/>
      <c r="AJ62" s="134"/>
      <c r="AK62" s="136"/>
      <c r="AL62" s="1"/>
      <c r="AM62" s="135"/>
      <c r="AN62" s="134"/>
      <c r="AO62" s="134"/>
      <c r="AP62" s="134"/>
      <c r="AQ62" s="136"/>
      <c r="AR62" s="1"/>
      <c r="AS62" s="135"/>
      <c r="AT62" s="134"/>
      <c r="AU62" s="134"/>
      <c r="AV62" s="134"/>
      <c r="AW62" s="136"/>
      <c r="AX62" s="1"/>
      <c r="AY62" s="135"/>
      <c r="AZ62" s="134"/>
      <c r="BA62" s="134"/>
      <c r="BB62" s="134"/>
      <c r="BC62" s="136"/>
      <c r="BD62" s="1"/>
      <c r="BE62" s="135"/>
      <c r="BF62" s="134"/>
      <c r="BG62" s="134"/>
      <c r="BH62" s="134"/>
      <c r="BI62" s="136"/>
      <c r="BJ62" s="1"/>
      <c r="BK62" s="135"/>
      <c r="BL62" s="134"/>
      <c r="BM62" s="134"/>
      <c r="BN62" s="134"/>
      <c r="BO62" s="125"/>
      <c r="BP62" s="96"/>
      <c r="BQ62" s="135"/>
      <c r="BR62" s="134"/>
      <c r="BS62" s="134"/>
      <c r="BT62" s="134"/>
      <c r="BU62" s="125"/>
      <c r="BV62" s="1"/>
      <c r="BW62" s="135"/>
      <c r="BX62" s="134"/>
      <c r="BY62" s="134"/>
      <c r="BZ62" s="134"/>
      <c r="CA62" s="125"/>
      <c r="CB62" s="1"/>
      <c r="CC62" s="135"/>
      <c r="CD62" s="134"/>
      <c r="CE62" s="134"/>
      <c r="CF62" s="134"/>
      <c r="CG62" s="136"/>
    </row>
    <row r="63" spans="1:85">
      <c r="A63" s="53" t="s">
        <v>87</v>
      </c>
      <c r="B63" s="134"/>
      <c r="C63" s="135"/>
      <c r="D63" s="134"/>
      <c r="E63" s="134"/>
      <c r="F63" s="134"/>
      <c r="G63" s="136"/>
      <c r="H63" s="1"/>
      <c r="I63" s="135"/>
      <c r="J63" s="134"/>
      <c r="K63" s="134"/>
      <c r="L63" s="134"/>
      <c r="M63" s="136"/>
      <c r="N63" s="1"/>
      <c r="O63" s="135"/>
      <c r="P63" s="134"/>
      <c r="Q63" s="134"/>
      <c r="R63" s="134"/>
      <c r="S63" s="136"/>
      <c r="T63" s="1"/>
      <c r="U63" s="135"/>
      <c r="V63" s="134"/>
      <c r="W63" s="134"/>
      <c r="X63" s="134"/>
      <c r="Y63" s="136"/>
      <c r="Z63" s="1"/>
      <c r="AA63" s="135"/>
      <c r="AB63" s="134"/>
      <c r="AC63" s="134"/>
      <c r="AD63" s="134"/>
      <c r="AE63" s="136"/>
      <c r="AF63" s="1"/>
      <c r="AG63" s="135"/>
      <c r="AH63" s="134"/>
      <c r="AI63" s="134"/>
      <c r="AJ63" s="134"/>
      <c r="AK63" s="136"/>
      <c r="AL63" s="1"/>
      <c r="AM63" s="135"/>
      <c r="AN63" s="134"/>
      <c r="AO63" s="134"/>
      <c r="AP63" s="134"/>
      <c r="AQ63" s="136"/>
      <c r="AR63" s="1"/>
      <c r="AS63" s="135"/>
      <c r="AT63" s="134"/>
      <c r="AU63" s="134"/>
      <c r="AV63" s="134"/>
      <c r="AW63" s="136"/>
      <c r="AX63" s="1"/>
      <c r="AY63" s="135"/>
      <c r="AZ63" s="134"/>
      <c r="BA63" s="134"/>
      <c r="BB63" s="134"/>
      <c r="BC63" s="136"/>
      <c r="BD63" s="1"/>
      <c r="BE63" s="135"/>
      <c r="BF63" s="134"/>
      <c r="BG63" s="134"/>
      <c r="BH63" s="134"/>
      <c r="BI63" s="136"/>
      <c r="BJ63" s="1"/>
      <c r="BK63" s="135"/>
      <c r="BL63" s="134"/>
      <c r="BM63" s="134"/>
      <c r="BN63" s="134"/>
      <c r="BO63" s="125"/>
      <c r="BP63" s="96"/>
      <c r="BQ63" s="135"/>
      <c r="BR63" s="134"/>
      <c r="BS63" s="134"/>
      <c r="BT63" s="134"/>
      <c r="BU63" s="125"/>
      <c r="BV63" s="1"/>
      <c r="BW63" s="135"/>
      <c r="BX63" s="134"/>
      <c r="BY63" s="134"/>
      <c r="BZ63" s="134"/>
      <c r="CA63" s="125"/>
      <c r="CB63" s="1"/>
      <c r="CC63" s="135"/>
      <c r="CD63" s="134"/>
      <c r="CE63" s="134"/>
      <c r="CF63" s="134"/>
      <c r="CG63" s="136"/>
    </row>
    <row r="64" spans="1:85">
      <c r="A64" s="52" t="s">
        <v>119</v>
      </c>
      <c r="B64" s="134"/>
      <c r="C64" s="124">
        <v>80</v>
      </c>
      <c r="D64" s="123">
        <v>68</v>
      </c>
      <c r="E64" s="123">
        <v>52</v>
      </c>
      <c r="F64" s="123">
        <v>75</v>
      </c>
      <c r="G64" s="125">
        <v>275</v>
      </c>
      <c r="H64" s="1"/>
      <c r="I64" s="124">
        <v>79</v>
      </c>
      <c r="J64" s="123">
        <v>88</v>
      </c>
      <c r="K64" s="123">
        <v>95</v>
      </c>
      <c r="L64" s="123">
        <v>104</v>
      </c>
      <c r="M64" s="125">
        <v>366</v>
      </c>
      <c r="N64" s="137"/>
      <c r="O64" s="124">
        <v>36</v>
      </c>
      <c r="P64" s="123">
        <v>55</v>
      </c>
      <c r="Q64" s="123">
        <v>71</v>
      </c>
      <c r="R64" s="123">
        <v>89</v>
      </c>
      <c r="S64" s="125">
        <v>251</v>
      </c>
      <c r="T64" s="1"/>
      <c r="U64" s="124">
        <v>55</v>
      </c>
      <c r="V64" s="123">
        <v>61</v>
      </c>
      <c r="W64" s="123">
        <v>76</v>
      </c>
      <c r="X64" s="123">
        <v>76</v>
      </c>
      <c r="Y64" s="125">
        <v>268</v>
      </c>
      <c r="Z64" s="1"/>
      <c r="AA64" s="124">
        <v>88</v>
      </c>
      <c r="AB64" s="123">
        <v>102</v>
      </c>
      <c r="AC64" s="123">
        <v>134</v>
      </c>
      <c r="AD64" s="123">
        <v>145</v>
      </c>
      <c r="AE64" s="125">
        <v>469</v>
      </c>
      <c r="AF64" s="1"/>
      <c r="AG64" s="124">
        <v>105</v>
      </c>
      <c r="AH64" s="123">
        <v>128</v>
      </c>
      <c r="AI64" s="123">
        <v>153</v>
      </c>
      <c r="AJ64" s="123">
        <v>167</v>
      </c>
      <c r="AK64" s="125">
        <v>553</v>
      </c>
      <c r="AL64" s="1"/>
      <c r="AM64" s="124">
        <v>138</v>
      </c>
      <c r="AN64" s="123">
        <v>208</v>
      </c>
      <c r="AO64" s="123">
        <v>176</v>
      </c>
      <c r="AP64" s="123">
        <v>200</v>
      </c>
      <c r="AQ64" s="125">
        <v>722</v>
      </c>
      <c r="AR64" s="1"/>
      <c r="AS64" s="124">
        <v>163</v>
      </c>
      <c r="AT64" s="123">
        <v>212</v>
      </c>
      <c r="AU64" s="123">
        <v>195</v>
      </c>
      <c r="AV64" s="123">
        <v>317</v>
      </c>
      <c r="AW64" s="125">
        <v>887</v>
      </c>
      <c r="AX64" s="1"/>
      <c r="AY64" s="124">
        <v>208</v>
      </c>
      <c r="AZ64" s="123">
        <v>280</v>
      </c>
      <c r="BA64" s="123">
        <v>296</v>
      </c>
      <c r="BB64" s="123">
        <v>305</v>
      </c>
      <c r="BC64" s="125">
        <v>1089</v>
      </c>
      <c r="BD64" s="1"/>
      <c r="BE64" s="124">
        <v>205</v>
      </c>
      <c r="BF64" s="123">
        <v>303</v>
      </c>
      <c r="BG64" s="123">
        <v>302</v>
      </c>
      <c r="BH64" s="123">
        <v>290</v>
      </c>
      <c r="BI64" s="125">
        <v>1100</v>
      </c>
      <c r="BJ64" s="1"/>
      <c r="BK64" s="124">
        <v>207</v>
      </c>
      <c r="BL64" s="123">
        <v>329</v>
      </c>
      <c r="BM64" s="123">
        <v>344</v>
      </c>
      <c r="BN64" s="123">
        <v>302</v>
      </c>
      <c r="BO64" s="125">
        <v>1182</v>
      </c>
      <c r="BP64" s="96"/>
      <c r="BQ64" s="124">
        <v>256</v>
      </c>
      <c r="BR64" s="123">
        <v>428</v>
      </c>
      <c r="BS64" s="123">
        <v>423</v>
      </c>
      <c r="BT64" s="123">
        <v>401</v>
      </c>
      <c r="BU64" s="125">
        <v>1508</v>
      </c>
      <c r="BV64" s="126"/>
      <c r="BW64" s="124">
        <v>403</v>
      </c>
      <c r="BX64" s="123">
        <v>482</v>
      </c>
      <c r="BY64" s="123">
        <v>459</v>
      </c>
      <c r="BZ64" s="123">
        <v>423</v>
      </c>
      <c r="CA64" s="125">
        <v>1767</v>
      </c>
      <c r="CB64" s="91"/>
      <c r="CC64" s="124">
        <v>473</v>
      </c>
      <c r="CD64" s="123">
        <v>498</v>
      </c>
      <c r="CE64" s="123">
        <v>504</v>
      </c>
      <c r="CF64" s="123">
        <v>441</v>
      </c>
      <c r="CG64" s="125">
        <v>1916</v>
      </c>
    </row>
    <row r="65" spans="1:85">
      <c r="A65" s="52" t="s">
        <v>116</v>
      </c>
      <c r="B65" s="134"/>
      <c r="C65" s="124">
        <v>4</v>
      </c>
      <c r="D65" s="123">
        <v>12</v>
      </c>
      <c r="E65" s="123">
        <v>5</v>
      </c>
      <c r="F65" s="123">
        <v>13</v>
      </c>
      <c r="G65" s="125">
        <v>34</v>
      </c>
      <c r="H65" s="1"/>
      <c r="I65" s="124">
        <v>7</v>
      </c>
      <c r="J65" s="123">
        <v>19</v>
      </c>
      <c r="K65" s="123">
        <v>15</v>
      </c>
      <c r="L65" s="123">
        <v>23</v>
      </c>
      <c r="M65" s="125">
        <v>64</v>
      </c>
      <c r="N65" s="137"/>
      <c r="O65" s="124">
        <v>12</v>
      </c>
      <c r="P65" s="123">
        <v>10</v>
      </c>
      <c r="Q65" s="123">
        <v>11</v>
      </c>
      <c r="R65" s="123">
        <v>25</v>
      </c>
      <c r="S65" s="125">
        <v>58</v>
      </c>
      <c r="T65" s="1"/>
      <c r="U65" s="124">
        <v>20</v>
      </c>
      <c r="V65" s="123">
        <v>38</v>
      </c>
      <c r="W65" s="123">
        <v>48</v>
      </c>
      <c r="X65" s="123">
        <v>19</v>
      </c>
      <c r="Y65" s="125">
        <v>125</v>
      </c>
      <c r="Z65" s="1"/>
      <c r="AA65" s="124">
        <v>53</v>
      </c>
      <c r="AB65" s="123">
        <v>118</v>
      </c>
      <c r="AC65" s="123">
        <v>82</v>
      </c>
      <c r="AD65" s="123">
        <v>31</v>
      </c>
      <c r="AE65" s="125">
        <v>284</v>
      </c>
      <c r="AF65" s="1"/>
      <c r="AG65" s="124">
        <v>87</v>
      </c>
      <c r="AH65" s="123">
        <v>105</v>
      </c>
      <c r="AI65" s="123">
        <v>137</v>
      </c>
      <c r="AJ65" s="123">
        <v>164</v>
      </c>
      <c r="AK65" s="125">
        <v>493</v>
      </c>
      <c r="AL65" s="1"/>
      <c r="AM65" s="124">
        <v>137</v>
      </c>
      <c r="AN65" s="123">
        <v>168</v>
      </c>
      <c r="AO65" s="123">
        <v>150</v>
      </c>
      <c r="AP65" s="123">
        <v>122</v>
      </c>
      <c r="AQ65" s="125">
        <v>577</v>
      </c>
      <c r="AR65" s="1"/>
      <c r="AS65" s="124">
        <v>146</v>
      </c>
      <c r="AT65" s="123">
        <v>163</v>
      </c>
      <c r="AU65" s="123">
        <v>161</v>
      </c>
      <c r="AV65" s="123">
        <v>106</v>
      </c>
      <c r="AW65" s="125">
        <v>576</v>
      </c>
      <c r="AX65" s="1"/>
      <c r="AY65" s="124">
        <v>111</v>
      </c>
      <c r="AZ65" s="123">
        <v>219</v>
      </c>
      <c r="BA65" s="123">
        <v>176</v>
      </c>
      <c r="BB65" s="123">
        <v>179</v>
      </c>
      <c r="BC65" s="125">
        <v>685</v>
      </c>
      <c r="BD65" s="1"/>
      <c r="BE65" s="124">
        <v>157</v>
      </c>
      <c r="BF65" s="123">
        <v>247</v>
      </c>
      <c r="BG65" s="123">
        <v>207</v>
      </c>
      <c r="BH65" s="123">
        <v>194</v>
      </c>
      <c r="BI65" s="125">
        <v>805</v>
      </c>
      <c r="BJ65" s="1"/>
      <c r="BK65" s="124">
        <v>252</v>
      </c>
      <c r="BL65" s="123">
        <v>434</v>
      </c>
      <c r="BM65" s="123">
        <v>242</v>
      </c>
      <c r="BN65" s="123">
        <v>354</v>
      </c>
      <c r="BO65" s="125">
        <v>1282</v>
      </c>
      <c r="BP65" s="96"/>
      <c r="BQ65" s="124">
        <v>282</v>
      </c>
      <c r="BR65" s="123">
        <v>406</v>
      </c>
      <c r="BS65" s="123">
        <v>336</v>
      </c>
      <c r="BT65" s="123">
        <v>442</v>
      </c>
      <c r="BU65" s="125">
        <v>1466</v>
      </c>
      <c r="BV65" s="126"/>
      <c r="BW65" s="124">
        <v>326</v>
      </c>
      <c r="BX65" s="123">
        <v>370</v>
      </c>
      <c r="BY65" s="123">
        <v>345</v>
      </c>
      <c r="BZ65" s="123">
        <v>330</v>
      </c>
      <c r="CA65" s="125">
        <v>1371</v>
      </c>
      <c r="CB65" s="91"/>
      <c r="CC65" s="124">
        <v>335</v>
      </c>
      <c r="CD65" s="123">
        <v>423</v>
      </c>
      <c r="CE65" s="123">
        <v>319</v>
      </c>
      <c r="CF65" s="123">
        <v>323</v>
      </c>
      <c r="CG65" s="125">
        <v>1400</v>
      </c>
    </row>
    <row r="66" spans="1:85">
      <c r="A66" s="52" t="s">
        <v>120</v>
      </c>
      <c r="B66" s="134"/>
      <c r="C66" s="124">
        <v>2</v>
      </c>
      <c r="D66" s="123">
        <v>1</v>
      </c>
      <c r="E66" s="123">
        <v>1</v>
      </c>
      <c r="F66" s="123">
        <v>1</v>
      </c>
      <c r="G66" s="125">
        <v>5</v>
      </c>
      <c r="H66" s="1"/>
      <c r="I66" s="124">
        <v>1</v>
      </c>
      <c r="J66" s="123"/>
      <c r="K66" s="123"/>
      <c r="L66" s="123">
        <v>3</v>
      </c>
      <c r="M66" s="125">
        <v>4</v>
      </c>
      <c r="N66" s="137"/>
      <c r="O66" s="124">
        <v>1</v>
      </c>
      <c r="P66" s="123"/>
      <c r="Q66" s="123">
        <v>1</v>
      </c>
      <c r="R66" s="123"/>
      <c r="S66" s="125">
        <v>2</v>
      </c>
      <c r="T66" s="1"/>
      <c r="U66" s="124">
        <v>1</v>
      </c>
      <c r="V66" s="123">
        <v>2</v>
      </c>
      <c r="W66" s="123">
        <v>1</v>
      </c>
      <c r="X66" s="123">
        <v>2</v>
      </c>
      <c r="Y66" s="125">
        <v>6</v>
      </c>
      <c r="Z66" s="1"/>
      <c r="AA66" s="124">
        <v>2</v>
      </c>
      <c r="AB66" s="123">
        <v>1</v>
      </c>
      <c r="AC66" s="123">
        <v>2</v>
      </c>
      <c r="AD66" s="123">
        <v>2</v>
      </c>
      <c r="AE66" s="125">
        <v>7</v>
      </c>
      <c r="AF66" s="1"/>
      <c r="AG66" s="124">
        <v>10</v>
      </c>
      <c r="AH66" s="123">
        <v>8</v>
      </c>
      <c r="AI66" s="123">
        <v>40</v>
      </c>
      <c r="AJ66" s="123">
        <v>38</v>
      </c>
      <c r="AK66" s="125">
        <v>96</v>
      </c>
      <c r="AL66" s="1"/>
      <c r="AM66" s="124">
        <v>7</v>
      </c>
      <c r="AN66" s="123">
        <v>18</v>
      </c>
      <c r="AO66" s="123">
        <v>35</v>
      </c>
      <c r="AP66" s="123">
        <v>23</v>
      </c>
      <c r="AQ66" s="125">
        <v>83</v>
      </c>
      <c r="AR66" s="1"/>
      <c r="AS66" s="124">
        <v>6</v>
      </c>
      <c r="AT66" s="123">
        <v>3</v>
      </c>
      <c r="AU66" s="123">
        <v>49</v>
      </c>
      <c r="AV66" s="123">
        <v>17</v>
      </c>
      <c r="AW66" s="125">
        <v>75</v>
      </c>
      <c r="AX66" s="1"/>
      <c r="AY66" s="124">
        <v>13</v>
      </c>
      <c r="AZ66" s="123">
        <v>9</v>
      </c>
      <c r="BA66" s="123">
        <v>35</v>
      </c>
      <c r="BB66" s="123">
        <v>35</v>
      </c>
      <c r="BC66" s="125">
        <v>92</v>
      </c>
      <c r="BD66" s="1"/>
      <c r="BE66" s="124">
        <v>4</v>
      </c>
      <c r="BF66" s="123">
        <v>13</v>
      </c>
      <c r="BG66" s="123">
        <v>16</v>
      </c>
      <c r="BH66" s="123">
        <v>47</v>
      </c>
      <c r="BI66" s="125">
        <v>80</v>
      </c>
      <c r="BJ66" s="1"/>
      <c r="BK66" s="124">
        <v>25</v>
      </c>
      <c r="BL66" s="123">
        <v>33</v>
      </c>
      <c r="BM66" s="123">
        <v>31</v>
      </c>
      <c r="BN66" s="123">
        <v>51</v>
      </c>
      <c r="BO66" s="125">
        <v>140</v>
      </c>
      <c r="BP66" s="96"/>
      <c r="BQ66" s="124">
        <v>29</v>
      </c>
      <c r="BR66" s="123">
        <v>39</v>
      </c>
      <c r="BS66" s="123">
        <v>74</v>
      </c>
      <c r="BT66" s="123">
        <v>111</v>
      </c>
      <c r="BU66" s="125">
        <v>253</v>
      </c>
      <c r="BV66" s="126"/>
      <c r="BW66" s="124">
        <v>33</v>
      </c>
      <c r="BX66" s="123">
        <v>58</v>
      </c>
      <c r="BY66" s="123">
        <v>53</v>
      </c>
      <c r="BZ66" s="123">
        <v>136</v>
      </c>
      <c r="CA66" s="125">
        <v>280</v>
      </c>
      <c r="CB66" s="91"/>
      <c r="CC66" s="124">
        <v>23</v>
      </c>
      <c r="CD66" s="123">
        <v>29</v>
      </c>
      <c r="CE66" s="123">
        <v>122</v>
      </c>
      <c r="CF66" s="123">
        <v>143</v>
      </c>
      <c r="CG66" s="125">
        <v>317</v>
      </c>
    </row>
    <row r="67" spans="1:85">
      <c r="A67" s="52" t="s">
        <v>121</v>
      </c>
      <c r="B67" s="134"/>
      <c r="C67" s="124">
        <v>11</v>
      </c>
      <c r="D67" s="123">
        <v>13</v>
      </c>
      <c r="E67" s="123">
        <v>14</v>
      </c>
      <c r="F67" s="123">
        <v>22</v>
      </c>
      <c r="G67" s="125">
        <v>60</v>
      </c>
      <c r="H67" s="1"/>
      <c r="I67" s="124">
        <v>25</v>
      </c>
      <c r="J67" s="123">
        <v>13</v>
      </c>
      <c r="K67" s="123">
        <v>6</v>
      </c>
      <c r="L67" s="123">
        <v>10</v>
      </c>
      <c r="M67" s="125">
        <v>54</v>
      </c>
      <c r="N67" s="137"/>
      <c r="O67" s="124">
        <v>5</v>
      </c>
      <c r="P67" s="123">
        <v>7</v>
      </c>
      <c r="Q67" s="123"/>
      <c r="R67" s="123">
        <v>16</v>
      </c>
      <c r="S67" s="125">
        <v>28</v>
      </c>
      <c r="T67" s="1"/>
      <c r="U67" s="124">
        <v>2</v>
      </c>
      <c r="V67" s="123">
        <v>21</v>
      </c>
      <c r="W67" s="123">
        <v>17</v>
      </c>
      <c r="X67" s="123">
        <v>29</v>
      </c>
      <c r="Y67" s="125">
        <v>69</v>
      </c>
      <c r="Z67" s="1"/>
      <c r="AA67" s="124">
        <v>8</v>
      </c>
      <c r="AB67" s="123">
        <v>16</v>
      </c>
      <c r="AC67" s="123">
        <v>16</v>
      </c>
      <c r="AD67" s="123">
        <v>30</v>
      </c>
      <c r="AE67" s="125">
        <v>70</v>
      </c>
      <c r="AF67" s="1"/>
      <c r="AG67" s="124">
        <v>12</v>
      </c>
      <c r="AH67" s="123">
        <v>16</v>
      </c>
      <c r="AI67" s="123">
        <v>56</v>
      </c>
      <c r="AJ67" s="123">
        <v>66</v>
      </c>
      <c r="AK67" s="125">
        <v>150</v>
      </c>
      <c r="AL67" s="1"/>
      <c r="AM67" s="124">
        <v>49</v>
      </c>
      <c r="AN67" s="123">
        <v>38</v>
      </c>
      <c r="AO67" s="123">
        <v>65</v>
      </c>
      <c r="AP67" s="123">
        <v>85</v>
      </c>
      <c r="AQ67" s="125">
        <v>237</v>
      </c>
      <c r="AR67" s="1"/>
      <c r="AS67" s="124">
        <v>59</v>
      </c>
      <c r="AT67" s="123">
        <v>48</v>
      </c>
      <c r="AU67" s="123">
        <v>46</v>
      </c>
      <c r="AV67" s="123">
        <v>85</v>
      </c>
      <c r="AW67" s="125">
        <v>238</v>
      </c>
      <c r="AX67" s="1"/>
      <c r="AY67" s="124">
        <v>59</v>
      </c>
      <c r="AZ67" s="123">
        <v>81</v>
      </c>
      <c r="BA67" s="123">
        <v>94</v>
      </c>
      <c r="BB67" s="123">
        <v>132</v>
      </c>
      <c r="BC67" s="125">
        <v>366</v>
      </c>
      <c r="BD67" s="1"/>
      <c r="BE67" s="124">
        <v>90</v>
      </c>
      <c r="BF67" s="123">
        <v>67</v>
      </c>
      <c r="BG67" s="123">
        <v>89</v>
      </c>
      <c r="BH67" s="123">
        <v>122</v>
      </c>
      <c r="BI67" s="125">
        <v>368</v>
      </c>
      <c r="BJ67" s="1"/>
      <c r="BK67" s="124">
        <v>108</v>
      </c>
      <c r="BL67" s="123">
        <v>92</v>
      </c>
      <c r="BM67" s="123">
        <v>91</v>
      </c>
      <c r="BN67" s="123">
        <v>128</v>
      </c>
      <c r="BO67" s="125">
        <v>419</v>
      </c>
      <c r="BP67" s="96"/>
      <c r="BQ67" s="124">
        <v>115</v>
      </c>
      <c r="BR67" s="123">
        <v>88</v>
      </c>
      <c r="BS67" s="123">
        <v>136</v>
      </c>
      <c r="BT67" s="123">
        <v>152</v>
      </c>
      <c r="BU67" s="125">
        <v>491</v>
      </c>
      <c r="BV67" s="126"/>
      <c r="BW67" s="124">
        <v>149</v>
      </c>
      <c r="BX67" s="123">
        <v>144</v>
      </c>
      <c r="BY67" s="123">
        <v>118</v>
      </c>
      <c r="BZ67" s="123">
        <v>185</v>
      </c>
      <c r="CA67" s="125">
        <v>596</v>
      </c>
      <c r="CB67" s="91"/>
      <c r="CC67" s="124">
        <v>152</v>
      </c>
      <c r="CD67" s="123">
        <v>127</v>
      </c>
      <c r="CE67" s="123">
        <v>160</v>
      </c>
      <c r="CF67" s="123">
        <v>141</v>
      </c>
      <c r="CG67" s="125">
        <v>580</v>
      </c>
    </row>
    <row r="68" spans="1:85">
      <c r="A68" s="52" t="s">
        <v>122</v>
      </c>
      <c r="B68" s="134"/>
      <c r="C68" s="124">
        <v>1</v>
      </c>
      <c r="D68" s="123">
        <v>1</v>
      </c>
      <c r="E68" s="123">
        <v>1</v>
      </c>
      <c r="F68" s="123">
        <v>1</v>
      </c>
      <c r="G68" s="125">
        <v>4</v>
      </c>
      <c r="H68" s="1"/>
      <c r="I68" s="124">
        <v>1</v>
      </c>
      <c r="J68" s="123">
        <v>1</v>
      </c>
      <c r="K68" s="123"/>
      <c r="L68" s="123"/>
      <c r="M68" s="125">
        <v>2</v>
      </c>
      <c r="N68" s="137"/>
      <c r="O68" s="124">
        <v>2</v>
      </c>
      <c r="P68" s="123">
        <v>4</v>
      </c>
      <c r="Q68" s="123">
        <v>4</v>
      </c>
      <c r="R68" s="123">
        <v>4</v>
      </c>
      <c r="S68" s="125">
        <v>14</v>
      </c>
      <c r="T68" s="1"/>
      <c r="U68" s="124">
        <v>3</v>
      </c>
      <c r="V68" s="123">
        <v>16</v>
      </c>
      <c r="W68" s="123">
        <v>15</v>
      </c>
      <c r="X68" s="123">
        <v>12</v>
      </c>
      <c r="Y68" s="125">
        <v>46</v>
      </c>
      <c r="Z68" s="1"/>
      <c r="AA68" s="124">
        <v>15</v>
      </c>
      <c r="AB68" s="123">
        <v>18</v>
      </c>
      <c r="AC68" s="123">
        <v>18</v>
      </c>
      <c r="AD68" s="123">
        <v>17</v>
      </c>
      <c r="AE68" s="125">
        <v>68</v>
      </c>
      <c r="AF68" s="1"/>
      <c r="AG68" s="124">
        <v>10</v>
      </c>
      <c r="AH68" s="123">
        <v>13</v>
      </c>
      <c r="AI68" s="123">
        <v>36</v>
      </c>
      <c r="AJ68" s="123">
        <v>40</v>
      </c>
      <c r="AK68" s="125">
        <v>99</v>
      </c>
      <c r="AL68" s="1"/>
      <c r="AM68" s="124">
        <v>22</v>
      </c>
      <c r="AN68" s="123">
        <v>31</v>
      </c>
      <c r="AO68" s="123">
        <v>28</v>
      </c>
      <c r="AP68" s="123">
        <v>22</v>
      </c>
      <c r="AQ68" s="125">
        <v>103</v>
      </c>
      <c r="AR68" s="1"/>
      <c r="AS68" s="124">
        <v>5</v>
      </c>
      <c r="AT68" s="123">
        <v>21</v>
      </c>
      <c r="AU68" s="123">
        <v>23</v>
      </c>
      <c r="AV68" s="123">
        <v>38</v>
      </c>
      <c r="AW68" s="125">
        <v>87</v>
      </c>
      <c r="AX68" s="1"/>
      <c r="AY68" s="124">
        <v>11</v>
      </c>
      <c r="AZ68" s="123">
        <v>17</v>
      </c>
      <c r="BA68" s="123">
        <v>11</v>
      </c>
      <c r="BB68" s="123">
        <v>13</v>
      </c>
      <c r="BC68" s="125">
        <v>52</v>
      </c>
      <c r="BD68" s="1"/>
      <c r="BE68" s="124">
        <v>21</v>
      </c>
      <c r="BF68" s="123">
        <v>34</v>
      </c>
      <c r="BG68" s="123">
        <v>12</v>
      </c>
      <c r="BH68" s="123">
        <v>48</v>
      </c>
      <c r="BI68" s="125">
        <v>115</v>
      </c>
      <c r="BJ68" s="1"/>
      <c r="BK68" s="124">
        <v>57</v>
      </c>
      <c r="BL68" s="123">
        <v>82</v>
      </c>
      <c r="BM68" s="123">
        <v>73</v>
      </c>
      <c r="BN68" s="123">
        <v>117</v>
      </c>
      <c r="BO68" s="125">
        <v>329</v>
      </c>
      <c r="BP68" s="96"/>
      <c r="BQ68" s="124">
        <v>86</v>
      </c>
      <c r="BR68" s="123">
        <v>71</v>
      </c>
      <c r="BS68" s="123">
        <v>97</v>
      </c>
      <c r="BT68" s="123">
        <v>129</v>
      </c>
      <c r="BU68" s="125">
        <v>383</v>
      </c>
      <c r="BV68" s="126"/>
      <c r="BW68" s="124">
        <v>88</v>
      </c>
      <c r="BX68" s="123">
        <v>129</v>
      </c>
      <c r="BY68" s="123">
        <v>86</v>
      </c>
      <c r="BZ68" s="123">
        <v>156</v>
      </c>
      <c r="CA68" s="125">
        <v>459</v>
      </c>
      <c r="CB68" s="91"/>
      <c r="CC68" s="124">
        <v>111</v>
      </c>
      <c r="CD68" s="123">
        <v>126</v>
      </c>
      <c r="CE68" s="123">
        <v>124</v>
      </c>
      <c r="CF68" s="123">
        <v>178</v>
      </c>
      <c r="CG68" s="125">
        <v>539</v>
      </c>
    </row>
    <row r="69" spans="1:85">
      <c r="A69" s="52" t="s">
        <v>123</v>
      </c>
      <c r="B69" s="134"/>
      <c r="C69" s="124">
        <v>1</v>
      </c>
      <c r="D69" s="123">
        <v>2</v>
      </c>
      <c r="E69" s="123">
        <v>1</v>
      </c>
      <c r="F69" s="123">
        <v>2</v>
      </c>
      <c r="G69" s="125">
        <v>6</v>
      </c>
      <c r="H69" s="1"/>
      <c r="I69" s="124">
        <v>1</v>
      </c>
      <c r="J69" s="123">
        <v>2</v>
      </c>
      <c r="K69" s="123"/>
      <c r="L69" s="123">
        <v>1</v>
      </c>
      <c r="M69" s="125">
        <v>4</v>
      </c>
      <c r="N69" s="137"/>
      <c r="O69" s="124">
        <v>1</v>
      </c>
      <c r="P69" s="123"/>
      <c r="Q69" s="123">
        <v>1</v>
      </c>
      <c r="R69" s="123"/>
      <c r="S69" s="125">
        <v>2</v>
      </c>
      <c r="T69" s="1"/>
      <c r="U69" s="124">
        <v>1</v>
      </c>
      <c r="V69" s="123">
        <v>1</v>
      </c>
      <c r="W69" s="123">
        <v>1</v>
      </c>
      <c r="X69" s="123">
        <v>1</v>
      </c>
      <c r="Y69" s="125">
        <v>4</v>
      </c>
      <c r="Z69" s="1"/>
      <c r="AA69" s="124">
        <v>6</v>
      </c>
      <c r="AB69" s="123">
        <v>8</v>
      </c>
      <c r="AC69" s="123">
        <v>6</v>
      </c>
      <c r="AD69" s="123">
        <v>8</v>
      </c>
      <c r="AE69" s="125">
        <v>28</v>
      </c>
      <c r="AF69" s="1"/>
      <c r="AG69" s="124">
        <v>1</v>
      </c>
      <c r="AH69" s="123">
        <v>6</v>
      </c>
      <c r="AI69" s="123">
        <v>12</v>
      </c>
      <c r="AJ69" s="123">
        <v>14</v>
      </c>
      <c r="AK69" s="125">
        <v>33</v>
      </c>
      <c r="AL69" s="1"/>
      <c r="AM69" s="124">
        <v>15</v>
      </c>
      <c r="AN69" s="123">
        <v>15</v>
      </c>
      <c r="AO69" s="123">
        <v>16</v>
      </c>
      <c r="AP69" s="123">
        <v>16</v>
      </c>
      <c r="AQ69" s="125">
        <v>62</v>
      </c>
      <c r="AR69" s="1"/>
      <c r="AS69" s="124">
        <v>10</v>
      </c>
      <c r="AT69" s="123">
        <v>14</v>
      </c>
      <c r="AU69" s="123">
        <v>19</v>
      </c>
      <c r="AV69" s="123">
        <v>20</v>
      </c>
      <c r="AW69" s="125">
        <v>63</v>
      </c>
      <c r="AX69" s="1"/>
      <c r="AY69" s="124">
        <v>6</v>
      </c>
      <c r="AZ69" s="123">
        <v>11</v>
      </c>
      <c r="BA69" s="123">
        <v>26</v>
      </c>
      <c r="BB69" s="123">
        <v>13</v>
      </c>
      <c r="BC69" s="125">
        <v>56</v>
      </c>
      <c r="BD69" s="1"/>
      <c r="BE69" s="124">
        <v>14</v>
      </c>
      <c r="BF69" s="123">
        <v>16</v>
      </c>
      <c r="BG69" s="123">
        <v>10</v>
      </c>
      <c r="BH69" s="123">
        <v>37</v>
      </c>
      <c r="BI69" s="125">
        <v>77</v>
      </c>
      <c r="BJ69" s="1"/>
      <c r="BK69" s="124">
        <v>38</v>
      </c>
      <c r="BL69" s="123">
        <v>27</v>
      </c>
      <c r="BM69" s="123">
        <v>50</v>
      </c>
      <c r="BN69" s="123">
        <v>94</v>
      </c>
      <c r="BO69" s="125">
        <v>209</v>
      </c>
      <c r="BP69" s="96"/>
      <c r="BQ69" s="124">
        <v>52</v>
      </c>
      <c r="BR69" s="123">
        <v>41</v>
      </c>
      <c r="BS69" s="123">
        <v>46</v>
      </c>
      <c r="BT69" s="123">
        <v>91</v>
      </c>
      <c r="BU69" s="125">
        <v>230</v>
      </c>
      <c r="BV69" s="126"/>
      <c r="BW69" s="124">
        <v>40</v>
      </c>
      <c r="BX69" s="123">
        <v>47</v>
      </c>
      <c r="BY69" s="123">
        <v>79</v>
      </c>
      <c r="BZ69" s="123">
        <v>74</v>
      </c>
      <c r="CA69" s="125">
        <v>240</v>
      </c>
      <c r="CB69" s="91"/>
      <c r="CC69" s="124">
        <v>40</v>
      </c>
      <c r="CD69" s="123">
        <v>61</v>
      </c>
      <c r="CE69" s="123">
        <v>62</v>
      </c>
      <c r="CF69" s="123">
        <v>90</v>
      </c>
      <c r="CG69" s="125">
        <v>253</v>
      </c>
    </row>
    <row r="70" spans="1:85">
      <c r="A70" s="77" t="s">
        <v>84</v>
      </c>
      <c r="B70" s="134"/>
      <c r="C70" s="127">
        <v>99</v>
      </c>
      <c r="D70" s="128">
        <v>97</v>
      </c>
      <c r="E70" s="128">
        <v>74</v>
      </c>
      <c r="F70" s="128">
        <v>114</v>
      </c>
      <c r="G70" s="129">
        <v>384</v>
      </c>
      <c r="H70" s="1"/>
      <c r="I70" s="127">
        <v>114</v>
      </c>
      <c r="J70" s="128">
        <v>123</v>
      </c>
      <c r="K70" s="128">
        <v>116</v>
      </c>
      <c r="L70" s="128">
        <v>141</v>
      </c>
      <c r="M70" s="129">
        <v>494</v>
      </c>
      <c r="N70" s="137"/>
      <c r="O70" s="127">
        <v>57</v>
      </c>
      <c r="P70" s="128">
        <v>76</v>
      </c>
      <c r="Q70" s="128">
        <v>88</v>
      </c>
      <c r="R70" s="128">
        <v>134</v>
      </c>
      <c r="S70" s="129">
        <v>355</v>
      </c>
      <c r="T70" s="1"/>
      <c r="U70" s="127">
        <v>82</v>
      </c>
      <c r="V70" s="128">
        <v>139</v>
      </c>
      <c r="W70" s="128">
        <v>158</v>
      </c>
      <c r="X70" s="128">
        <v>139</v>
      </c>
      <c r="Y70" s="129">
        <v>518</v>
      </c>
      <c r="Z70" s="1"/>
      <c r="AA70" s="127">
        <v>172</v>
      </c>
      <c r="AB70" s="128">
        <v>263</v>
      </c>
      <c r="AC70" s="128">
        <v>258</v>
      </c>
      <c r="AD70" s="128">
        <v>233</v>
      </c>
      <c r="AE70" s="129">
        <v>926</v>
      </c>
      <c r="AF70" s="1"/>
      <c r="AG70" s="127">
        <v>225</v>
      </c>
      <c r="AH70" s="128">
        <v>276</v>
      </c>
      <c r="AI70" s="128">
        <v>434</v>
      </c>
      <c r="AJ70" s="128">
        <v>489</v>
      </c>
      <c r="AK70" s="129">
        <v>1424</v>
      </c>
      <c r="AL70" s="1"/>
      <c r="AM70" s="127">
        <v>368</v>
      </c>
      <c r="AN70" s="128">
        <v>478</v>
      </c>
      <c r="AO70" s="128">
        <v>470</v>
      </c>
      <c r="AP70" s="128">
        <v>468</v>
      </c>
      <c r="AQ70" s="129">
        <v>1784</v>
      </c>
      <c r="AR70" s="1"/>
      <c r="AS70" s="127">
        <v>389</v>
      </c>
      <c r="AT70" s="128">
        <v>461</v>
      </c>
      <c r="AU70" s="128">
        <v>493</v>
      </c>
      <c r="AV70" s="128">
        <v>583</v>
      </c>
      <c r="AW70" s="129">
        <v>1926</v>
      </c>
      <c r="AX70" s="1"/>
      <c r="AY70" s="127">
        <v>408</v>
      </c>
      <c r="AZ70" s="128">
        <v>617</v>
      </c>
      <c r="BA70" s="128">
        <v>638</v>
      </c>
      <c r="BB70" s="128">
        <v>677</v>
      </c>
      <c r="BC70" s="129">
        <v>2340</v>
      </c>
      <c r="BD70" s="1"/>
      <c r="BE70" s="127">
        <v>491</v>
      </c>
      <c r="BF70" s="128">
        <v>680</v>
      </c>
      <c r="BG70" s="128">
        <v>636</v>
      </c>
      <c r="BH70" s="128">
        <v>738</v>
      </c>
      <c r="BI70" s="129">
        <v>2545</v>
      </c>
      <c r="BJ70" s="1"/>
      <c r="BK70" s="127">
        <v>687</v>
      </c>
      <c r="BL70" s="128">
        <v>997</v>
      </c>
      <c r="BM70" s="128">
        <v>831</v>
      </c>
      <c r="BN70" s="128">
        <v>1046</v>
      </c>
      <c r="BO70" s="129">
        <v>3561</v>
      </c>
      <c r="BP70" s="96"/>
      <c r="BQ70" s="127">
        <v>820</v>
      </c>
      <c r="BR70" s="128">
        <v>1073</v>
      </c>
      <c r="BS70" s="128">
        <v>1112</v>
      </c>
      <c r="BT70" s="128">
        <v>1326</v>
      </c>
      <c r="BU70" s="129">
        <v>4331</v>
      </c>
      <c r="BV70" s="126"/>
      <c r="BW70" s="127">
        <v>1039</v>
      </c>
      <c r="BX70" s="128">
        <v>1230</v>
      </c>
      <c r="BY70" s="128">
        <v>1140</v>
      </c>
      <c r="BZ70" s="128">
        <v>1304</v>
      </c>
      <c r="CA70" s="129">
        <v>4713</v>
      </c>
      <c r="CB70" s="1"/>
      <c r="CC70" s="127">
        <v>1134</v>
      </c>
      <c r="CD70" s="128">
        <v>1264</v>
      </c>
      <c r="CE70" s="128">
        <v>1291</v>
      </c>
      <c r="CF70" s="128">
        <v>1316</v>
      </c>
      <c r="CG70" s="129">
        <v>5005</v>
      </c>
    </row>
    <row r="71" spans="1:85">
      <c r="A71" s="52" t="s">
        <v>15</v>
      </c>
      <c r="B71" s="134"/>
      <c r="C71" s="124">
        <v>64</v>
      </c>
      <c r="D71" s="123">
        <v>64</v>
      </c>
      <c r="E71" s="123">
        <v>47</v>
      </c>
      <c r="F71" s="123">
        <v>71</v>
      </c>
      <c r="G71" s="125">
        <v>246</v>
      </c>
      <c r="H71" s="1"/>
      <c r="I71" s="124">
        <v>72</v>
      </c>
      <c r="J71" s="123">
        <v>78</v>
      </c>
      <c r="K71" s="123">
        <v>71</v>
      </c>
      <c r="L71" s="123">
        <v>84</v>
      </c>
      <c r="M71" s="125">
        <v>305</v>
      </c>
      <c r="N71" s="1"/>
      <c r="O71" s="124">
        <v>36</v>
      </c>
      <c r="P71" s="123">
        <v>50</v>
      </c>
      <c r="Q71" s="123">
        <v>55</v>
      </c>
      <c r="R71" s="123">
        <v>79</v>
      </c>
      <c r="S71" s="125">
        <v>220</v>
      </c>
      <c r="T71" s="1"/>
      <c r="U71" s="124">
        <v>50</v>
      </c>
      <c r="V71" s="123">
        <v>82</v>
      </c>
      <c r="W71" s="123">
        <v>89</v>
      </c>
      <c r="X71" s="123">
        <v>81</v>
      </c>
      <c r="Y71" s="125">
        <v>302</v>
      </c>
      <c r="Z71" s="1"/>
      <c r="AA71" s="124">
        <v>95</v>
      </c>
      <c r="AB71" s="123">
        <v>134</v>
      </c>
      <c r="AC71" s="123">
        <v>138</v>
      </c>
      <c r="AD71" s="123">
        <v>129</v>
      </c>
      <c r="AE71" s="125">
        <v>496</v>
      </c>
      <c r="AF71" s="1"/>
      <c r="AG71" s="124">
        <v>125</v>
      </c>
      <c r="AH71" s="123">
        <v>149</v>
      </c>
      <c r="AI71" s="123">
        <v>211</v>
      </c>
      <c r="AJ71" s="123">
        <v>235</v>
      </c>
      <c r="AK71" s="125">
        <v>720</v>
      </c>
      <c r="AL71" s="1"/>
      <c r="AM71" s="124">
        <v>172</v>
      </c>
      <c r="AN71" s="123">
        <v>204</v>
      </c>
      <c r="AO71" s="123">
        <v>207</v>
      </c>
      <c r="AP71" s="123">
        <v>215</v>
      </c>
      <c r="AQ71" s="125">
        <v>798</v>
      </c>
      <c r="AR71" s="1"/>
      <c r="AS71" s="124">
        <v>174</v>
      </c>
      <c r="AT71" s="123">
        <v>202.2</v>
      </c>
      <c r="AU71" s="123">
        <v>217</v>
      </c>
      <c r="AV71" s="123">
        <v>268</v>
      </c>
      <c r="AW71" s="125">
        <v>861.2</v>
      </c>
      <c r="AX71" s="1"/>
      <c r="AY71" s="124">
        <v>182</v>
      </c>
      <c r="AZ71" s="123">
        <v>275</v>
      </c>
      <c r="BA71" s="123">
        <v>286</v>
      </c>
      <c r="BB71" s="123">
        <v>310</v>
      </c>
      <c r="BC71" s="125">
        <v>1053</v>
      </c>
      <c r="BD71" s="1"/>
      <c r="BE71" s="124">
        <v>222</v>
      </c>
      <c r="BF71" s="123">
        <v>303</v>
      </c>
      <c r="BG71" s="123">
        <v>284</v>
      </c>
      <c r="BH71" s="123">
        <v>341</v>
      </c>
      <c r="BI71" s="125">
        <v>1150</v>
      </c>
      <c r="BJ71" s="1"/>
      <c r="BK71" s="124">
        <v>282</v>
      </c>
      <c r="BL71" s="123">
        <v>423</v>
      </c>
      <c r="BM71" s="123">
        <v>361</v>
      </c>
      <c r="BN71" s="123">
        <v>474</v>
      </c>
      <c r="BO71" s="125">
        <v>1540</v>
      </c>
      <c r="BP71" s="96"/>
      <c r="BQ71" s="124">
        <v>348</v>
      </c>
      <c r="BR71" s="123">
        <v>475</v>
      </c>
      <c r="BS71" s="123">
        <v>511</v>
      </c>
      <c r="BT71" s="123">
        <v>597</v>
      </c>
      <c r="BU71" s="125">
        <v>1931</v>
      </c>
      <c r="BV71" s="1"/>
      <c r="BW71" s="124">
        <v>457</v>
      </c>
      <c r="BX71" s="123">
        <v>570</v>
      </c>
      <c r="BY71" s="123">
        <v>528</v>
      </c>
      <c r="BZ71" s="123">
        <v>602</v>
      </c>
      <c r="CA71" s="125">
        <v>2157</v>
      </c>
      <c r="CB71" s="1"/>
      <c r="CC71" s="124">
        <v>511</v>
      </c>
      <c r="CD71" s="123">
        <v>587</v>
      </c>
      <c r="CE71" s="123">
        <v>603</v>
      </c>
      <c r="CF71" s="123">
        <v>623</v>
      </c>
      <c r="CG71" s="125">
        <v>2324</v>
      </c>
    </row>
    <row r="72" spans="1:85" s="60" customFormat="1">
      <c r="A72" s="54" t="s">
        <v>85</v>
      </c>
      <c r="B72" s="57"/>
      <c r="C72" s="58">
        <v>0.64646464646464652</v>
      </c>
      <c r="D72" s="57">
        <v>0.65979381443298968</v>
      </c>
      <c r="E72" s="57">
        <v>0.63513513513513509</v>
      </c>
      <c r="F72" s="57">
        <v>0.6228070175438597</v>
      </c>
      <c r="G72" s="59">
        <v>0.640625</v>
      </c>
      <c r="I72" s="58">
        <v>0.63157894736842102</v>
      </c>
      <c r="J72" s="57">
        <v>0.63414634146341464</v>
      </c>
      <c r="K72" s="57">
        <v>0.61206896551724133</v>
      </c>
      <c r="L72" s="57">
        <v>0.5957446808510638</v>
      </c>
      <c r="M72" s="59">
        <v>0.61740890688259109</v>
      </c>
      <c r="O72" s="58">
        <v>0.63157894736842102</v>
      </c>
      <c r="P72" s="57">
        <v>0.65789473684210531</v>
      </c>
      <c r="Q72" s="57">
        <v>0.625</v>
      </c>
      <c r="R72" s="57">
        <v>0.58955223880597019</v>
      </c>
      <c r="S72" s="59">
        <v>0.61971830985915488</v>
      </c>
      <c r="U72" s="58">
        <v>0.6097560975609756</v>
      </c>
      <c r="V72" s="57">
        <v>0.58992805755395683</v>
      </c>
      <c r="W72" s="57">
        <v>0.56329113924050633</v>
      </c>
      <c r="X72" s="57">
        <v>0.58273381294964033</v>
      </c>
      <c r="Y72" s="59">
        <v>0.58301158301158296</v>
      </c>
      <c r="Z72" s="57"/>
      <c r="AA72" s="58">
        <v>0.55232558139534882</v>
      </c>
      <c r="AB72" s="57">
        <v>0.50950570342205326</v>
      </c>
      <c r="AC72" s="57">
        <v>0.53488372093023251</v>
      </c>
      <c r="AD72" s="57">
        <v>0.55364806866952787</v>
      </c>
      <c r="AE72" s="59">
        <v>0.5356371490280778</v>
      </c>
      <c r="AG72" s="58">
        <v>0.55555555555555558</v>
      </c>
      <c r="AH72" s="57">
        <v>0.53985507246376807</v>
      </c>
      <c r="AI72" s="57">
        <v>0.48617511520737328</v>
      </c>
      <c r="AJ72" s="57">
        <v>0.48057259713701433</v>
      </c>
      <c r="AK72" s="59">
        <v>0.5056179775280899</v>
      </c>
      <c r="AL72" s="61"/>
      <c r="AM72" s="58">
        <v>0.46739130434782611</v>
      </c>
      <c r="AN72" s="57">
        <v>0.42677824267782427</v>
      </c>
      <c r="AO72" s="57">
        <v>0.44042553191489364</v>
      </c>
      <c r="AP72" s="57">
        <v>0.45940170940170938</v>
      </c>
      <c r="AQ72" s="59">
        <v>0.44730941704035876</v>
      </c>
      <c r="AR72" s="61"/>
      <c r="AS72" s="58">
        <v>0.4473007712082262</v>
      </c>
      <c r="AT72" s="57">
        <v>0.43861171366594359</v>
      </c>
      <c r="AU72" s="57">
        <v>0.44016227180527384</v>
      </c>
      <c r="AV72" s="57">
        <v>0.45969125214408235</v>
      </c>
      <c r="AW72" s="59">
        <v>0.44714434060228453</v>
      </c>
      <c r="AX72" s="61"/>
      <c r="AY72" s="58">
        <v>0.44607843137254904</v>
      </c>
      <c r="AZ72" s="57">
        <v>0.44570502431118314</v>
      </c>
      <c r="BA72" s="57">
        <v>0.44827586206896552</v>
      </c>
      <c r="BB72" s="57">
        <v>0.45790251107828656</v>
      </c>
      <c r="BC72" s="59">
        <v>0.45</v>
      </c>
      <c r="BD72" s="61"/>
      <c r="BE72" s="58">
        <v>0.45213849287169044</v>
      </c>
      <c r="BF72" s="57">
        <v>0.44558823529411767</v>
      </c>
      <c r="BG72" s="57">
        <v>0.44654088050314467</v>
      </c>
      <c r="BH72" s="57">
        <v>0.46205962059620598</v>
      </c>
      <c r="BI72" s="59">
        <v>0.45186640471512768</v>
      </c>
      <c r="BJ72" s="61"/>
      <c r="BK72" s="58">
        <v>0.41048034934497818</v>
      </c>
      <c r="BL72" s="57">
        <v>0.42427281845536607</v>
      </c>
      <c r="BM72" s="57">
        <v>0.43441636582430804</v>
      </c>
      <c r="BN72" s="57">
        <v>0.45315487571701724</v>
      </c>
      <c r="BO72" s="59">
        <v>0.43246279135074417</v>
      </c>
      <c r="BP72" s="63"/>
      <c r="BQ72" s="58">
        <v>0.42439024390243901</v>
      </c>
      <c r="BR72" s="57">
        <v>0.44268406337371857</v>
      </c>
      <c r="BS72" s="57">
        <v>0.4595323741007194</v>
      </c>
      <c r="BT72" s="57">
        <v>0.45022624434389141</v>
      </c>
      <c r="BU72" s="59">
        <v>0.44585546063264836</v>
      </c>
      <c r="BW72" s="58">
        <v>0.43984600577478344</v>
      </c>
      <c r="BX72" s="72">
        <v>0.46341463414634149</v>
      </c>
      <c r="BY72" s="72">
        <v>0.4631578947368421</v>
      </c>
      <c r="BZ72" s="72">
        <v>0.46165644171779141</v>
      </c>
      <c r="CA72" s="59">
        <v>0.4576702737110121</v>
      </c>
      <c r="CB72" s="61"/>
      <c r="CC72" s="58">
        <v>0.45061728395061729</v>
      </c>
      <c r="CD72" s="72">
        <v>0.46439873417721517</v>
      </c>
      <c r="CE72" s="72">
        <v>0.46707978311386522</v>
      </c>
      <c r="CF72" s="72">
        <v>0.47340425531914893</v>
      </c>
      <c r="CG72" s="59">
        <v>0.46433566433566431</v>
      </c>
    </row>
    <row r="73" spans="1:85">
      <c r="A73" s="52" t="s">
        <v>21</v>
      </c>
      <c r="B73" s="130"/>
      <c r="C73" s="138">
        <v>29</v>
      </c>
      <c r="D73" s="139">
        <v>32</v>
      </c>
      <c r="E73" s="139">
        <v>32</v>
      </c>
      <c r="F73" s="139">
        <v>45</v>
      </c>
      <c r="G73" s="125">
        <v>138</v>
      </c>
      <c r="H73" s="1"/>
      <c r="I73" s="138">
        <v>40</v>
      </c>
      <c r="J73" s="139">
        <v>45</v>
      </c>
      <c r="K73" s="139">
        <v>41</v>
      </c>
      <c r="L73" s="139">
        <v>53</v>
      </c>
      <c r="M73" s="125">
        <v>179</v>
      </c>
      <c r="N73" s="1"/>
      <c r="O73" s="138">
        <v>45</v>
      </c>
      <c r="P73" s="139">
        <v>54</v>
      </c>
      <c r="Q73" s="139">
        <v>41</v>
      </c>
      <c r="R73" s="139">
        <v>41</v>
      </c>
      <c r="S73" s="125">
        <v>181</v>
      </c>
      <c r="T73" s="140"/>
      <c r="U73" s="138">
        <v>39</v>
      </c>
      <c r="V73" s="139">
        <v>48</v>
      </c>
      <c r="W73" s="139">
        <v>49</v>
      </c>
      <c r="X73" s="139">
        <v>51</v>
      </c>
      <c r="Y73" s="125">
        <v>187</v>
      </c>
      <c r="Z73" s="1"/>
      <c r="AA73" s="138">
        <v>70</v>
      </c>
      <c r="AB73" s="139">
        <v>82</v>
      </c>
      <c r="AC73" s="139">
        <v>84</v>
      </c>
      <c r="AD73" s="139">
        <v>89</v>
      </c>
      <c r="AE73" s="125">
        <v>325</v>
      </c>
      <c r="AF73" s="1"/>
      <c r="AG73" s="138">
        <v>92</v>
      </c>
      <c r="AH73" s="139">
        <v>99</v>
      </c>
      <c r="AI73" s="139">
        <v>141</v>
      </c>
      <c r="AJ73" s="139">
        <v>145</v>
      </c>
      <c r="AK73" s="125">
        <v>477</v>
      </c>
      <c r="AL73" s="1"/>
      <c r="AM73" s="138">
        <v>145</v>
      </c>
      <c r="AN73" s="139">
        <v>153</v>
      </c>
      <c r="AO73" s="139">
        <v>145</v>
      </c>
      <c r="AP73" s="139">
        <v>156</v>
      </c>
      <c r="AQ73" s="125">
        <v>599</v>
      </c>
      <c r="AR73" s="1"/>
      <c r="AS73" s="138">
        <v>171</v>
      </c>
      <c r="AT73" s="139">
        <v>168</v>
      </c>
      <c r="AU73" s="139">
        <v>151</v>
      </c>
      <c r="AV73" s="139">
        <v>167</v>
      </c>
      <c r="AW73" s="125">
        <v>657</v>
      </c>
      <c r="AX73" s="1"/>
      <c r="AY73" s="138">
        <v>178</v>
      </c>
      <c r="AZ73" s="123">
        <v>191</v>
      </c>
      <c r="BA73" s="123">
        <v>199</v>
      </c>
      <c r="BB73" s="123">
        <v>195</v>
      </c>
      <c r="BC73" s="125">
        <v>763</v>
      </c>
      <c r="BD73" s="1"/>
      <c r="BE73" s="138">
        <v>206</v>
      </c>
      <c r="BF73" s="123">
        <v>211</v>
      </c>
      <c r="BG73" s="123">
        <v>198</v>
      </c>
      <c r="BH73" s="123">
        <v>207</v>
      </c>
      <c r="BI73" s="125">
        <v>822</v>
      </c>
      <c r="BJ73" s="1"/>
      <c r="BK73" s="138">
        <v>252</v>
      </c>
      <c r="BL73" s="123">
        <v>292</v>
      </c>
      <c r="BM73" s="123">
        <v>278</v>
      </c>
      <c r="BN73" s="123">
        <v>292</v>
      </c>
      <c r="BO73" s="141">
        <v>1114</v>
      </c>
      <c r="BP73" s="96"/>
      <c r="BQ73" s="138">
        <v>307</v>
      </c>
      <c r="BR73" s="123">
        <v>330</v>
      </c>
      <c r="BS73" s="123">
        <v>327</v>
      </c>
      <c r="BT73" s="123">
        <v>360</v>
      </c>
      <c r="BU73" s="141">
        <v>1324</v>
      </c>
      <c r="BV73" s="1"/>
      <c r="BW73" s="138">
        <v>365</v>
      </c>
      <c r="BX73" s="139">
        <v>377</v>
      </c>
      <c r="BY73" s="123">
        <v>360</v>
      </c>
      <c r="BZ73" s="123">
        <v>386</v>
      </c>
      <c r="CA73" s="141">
        <v>1488</v>
      </c>
      <c r="CB73" s="1"/>
      <c r="CC73" s="138">
        <v>397</v>
      </c>
      <c r="CD73" s="123">
        <v>381</v>
      </c>
      <c r="CE73" s="123">
        <v>382</v>
      </c>
      <c r="CF73" s="123">
        <v>374</v>
      </c>
      <c r="CG73" s="141">
        <v>1534</v>
      </c>
    </row>
    <row r="74" spans="1:85">
      <c r="A74" s="77" t="s">
        <v>86</v>
      </c>
      <c r="B74" s="116"/>
      <c r="C74" s="127">
        <v>35</v>
      </c>
      <c r="D74" s="128">
        <v>32</v>
      </c>
      <c r="E74" s="128">
        <v>15</v>
      </c>
      <c r="F74" s="128">
        <v>26</v>
      </c>
      <c r="G74" s="129">
        <v>108</v>
      </c>
      <c r="H74" s="1"/>
      <c r="I74" s="127">
        <v>32</v>
      </c>
      <c r="J74" s="128">
        <v>33</v>
      </c>
      <c r="K74" s="128">
        <v>30</v>
      </c>
      <c r="L74" s="128">
        <v>31</v>
      </c>
      <c r="M74" s="129">
        <v>126</v>
      </c>
      <c r="N74" s="1"/>
      <c r="O74" s="127">
        <v>-9</v>
      </c>
      <c r="P74" s="128">
        <v>-4</v>
      </c>
      <c r="Q74" s="128">
        <v>14</v>
      </c>
      <c r="R74" s="128">
        <v>38</v>
      </c>
      <c r="S74" s="129">
        <v>39</v>
      </c>
      <c r="T74" s="1"/>
      <c r="U74" s="127">
        <v>11</v>
      </c>
      <c r="V74" s="128">
        <v>34</v>
      </c>
      <c r="W74" s="128">
        <v>40</v>
      </c>
      <c r="X74" s="128">
        <v>30</v>
      </c>
      <c r="Y74" s="129">
        <v>115</v>
      </c>
      <c r="Z74" s="1"/>
      <c r="AA74" s="127">
        <v>25</v>
      </c>
      <c r="AB74" s="128">
        <v>52</v>
      </c>
      <c r="AC74" s="128">
        <v>54</v>
      </c>
      <c r="AD74" s="128">
        <v>40</v>
      </c>
      <c r="AE74" s="129">
        <v>171</v>
      </c>
      <c r="AF74" s="1"/>
      <c r="AG74" s="127">
        <v>33</v>
      </c>
      <c r="AH74" s="128">
        <v>50</v>
      </c>
      <c r="AI74" s="128">
        <v>70</v>
      </c>
      <c r="AJ74" s="128">
        <v>90</v>
      </c>
      <c r="AK74" s="129">
        <v>243</v>
      </c>
      <c r="AL74" s="1"/>
      <c r="AM74" s="127">
        <v>27</v>
      </c>
      <c r="AN74" s="128">
        <v>51</v>
      </c>
      <c r="AO74" s="128">
        <v>62</v>
      </c>
      <c r="AP74" s="128">
        <v>59</v>
      </c>
      <c r="AQ74" s="129">
        <v>199</v>
      </c>
      <c r="AR74" s="123"/>
      <c r="AS74" s="127">
        <v>3</v>
      </c>
      <c r="AT74" s="128">
        <v>34.199999999999989</v>
      </c>
      <c r="AU74" s="128">
        <v>66</v>
      </c>
      <c r="AV74" s="128">
        <v>101</v>
      </c>
      <c r="AW74" s="129">
        <v>204.20000000000005</v>
      </c>
      <c r="AX74" s="123"/>
      <c r="AY74" s="127">
        <v>4</v>
      </c>
      <c r="AZ74" s="128">
        <v>84</v>
      </c>
      <c r="BA74" s="128">
        <v>87</v>
      </c>
      <c r="BB74" s="128">
        <v>115</v>
      </c>
      <c r="BC74" s="129">
        <v>290</v>
      </c>
      <c r="BD74" s="123"/>
      <c r="BE74" s="127">
        <v>16</v>
      </c>
      <c r="BF74" s="128">
        <v>92</v>
      </c>
      <c r="BG74" s="128">
        <v>86</v>
      </c>
      <c r="BH74" s="128">
        <v>134</v>
      </c>
      <c r="BI74" s="129">
        <v>328</v>
      </c>
      <c r="BJ74" s="123"/>
      <c r="BK74" s="127">
        <v>30</v>
      </c>
      <c r="BL74" s="128">
        <v>131</v>
      </c>
      <c r="BM74" s="128">
        <v>83</v>
      </c>
      <c r="BN74" s="128">
        <v>182</v>
      </c>
      <c r="BO74" s="129">
        <v>426</v>
      </c>
      <c r="BP74" s="96"/>
      <c r="BQ74" s="127">
        <v>41</v>
      </c>
      <c r="BR74" s="128">
        <v>145</v>
      </c>
      <c r="BS74" s="128">
        <v>184</v>
      </c>
      <c r="BT74" s="128">
        <v>237</v>
      </c>
      <c r="BU74" s="129">
        <v>607</v>
      </c>
      <c r="BV74" s="1"/>
      <c r="BW74" s="127">
        <v>92</v>
      </c>
      <c r="BX74" s="128">
        <v>193</v>
      </c>
      <c r="BY74" s="128">
        <v>168</v>
      </c>
      <c r="BZ74" s="128">
        <v>216</v>
      </c>
      <c r="CA74" s="129">
        <v>669</v>
      </c>
      <c r="CB74" s="1"/>
      <c r="CC74" s="127">
        <v>114</v>
      </c>
      <c r="CD74" s="128">
        <v>206</v>
      </c>
      <c r="CE74" s="128">
        <v>221</v>
      </c>
      <c r="CF74" s="128">
        <v>249</v>
      </c>
      <c r="CG74" s="129">
        <v>790</v>
      </c>
    </row>
    <row r="75" spans="1:85" s="60" customFormat="1">
      <c r="A75" s="54" t="s">
        <v>85</v>
      </c>
      <c r="B75" s="57"/>
      <c r="C75" s="58">
        <v>0.35353535353535354</v>
      </c>
      <c r="D75" s="57">
        <v>0.32989690721649484</v>
      </c>
      <c r="E75" s="57">
        <v>0.20270270270270271</v>
      </c>
      <c r="F75" s="57">
        <v>0.22807017543859648</v>
      </c>
      <c r="G75" s="59">
        <v>0.28125</v>
      </c>
      <c r="I75" s="58">
        <v>0.2807017543859649</v>
      </c>
      <c r="J75" s="57">
        <v>0.26829268292682928</v>
      </c>
      <c r="K75" s="57">
        <v>0.25862068965517243</v>
      </c>
      <c r="L75" s="57">
        <v>0.21985815602836881</v>
      </c>
      <c r="M75" s="59">
        <v>0.25506072874493929</v>
      </c>
      <c r="O75" s="58">
        <v>-0.15789473684210525</v>
      </c>
      <c r="P75" s="57">
        <v>-5.2631578947368418E-2</v>
      </c>
      <c r="Q75" s="57">
        <v>0.15909090909090909</v>
      </c>
      <c r="R75" s="57">
        <v>0.28358208955223879</v>
      </c>
      <c r="S75" s="59">
        <v>0.10985915492957747</v>
      </c>
      <c r="U75" s="58">
        <v>0.13414634146341464</v>
      </c>
      <c r="V75" s="57">
        <v>0.2446043165467626</v>
      </c>
      <c r="W75" s="57">
        <v>0.25316455696202533</v>
      </c>
      <c r="X75" s="57">
        <v>0.21582733812949639</v>
      </c>
      <c r="Y75" s="59">
        <v>0.22200772200772201</v>
      </c>
      <c r="Z75" s="57"/>
      <c r="AA75" s="58">
        <v>0.14534883720930233</v>
      </c>
      <c r="AB75" s="57">
        <v>0.19771863117870722</v>
      </c>
      <c r="AC75" s="57">
        <v>0.20930232558139536</v>
      </c>
      <c r="AD75" s="57">
        <v>0.17167381974248927</v>
      </c>
      <c r="AE75" s="59">
        <v>0.18466522678185746</v>
      </c>
      <c r="AG75" s="58">
        <v>0.14666666666666667</v>
      </c>
      <c r="AH75" s="57">
        <v>0.18115942028985507</v>
      </c>
      <c r="AI75" s="57">
        <v>0.16129032258064516</v>
      </c>
      <c r="AJ75" s="57">
        <v>0.18404907975460122</v>
      </c>
      <c r="AK75" s="59">
        <v>0.17064606741573032</v>
      </c>
      <c r="AM75" s="58">
        <v>7.3369565217391311E-2</v>
      </c>
      <c r="AN75" s="57">
        <v>0.10669456066945607</v>
      </c>
      <c r="AO75" s="57">
        <v>0.13191489361702127</v>
      </c>
      <c r="AP75" s="57">
        <v>0.12606837606837606</v>
      </c>
      <c r="AQ75" s="59">
        <v>0.11154708520179372</v>
      </c>
      <c r="AR75" s="61"/>
      <c r="AS75" s="58">
        <v>7.7120822622107968E-3</v>
      </c>
      <c r="AT75" s="57">
        <v>7.4186550976138799E-2</v>
      </c>
      <c r="AU75" s="57">
        <v>0.13387423935091278</v>
      </c>
      <c r="AV75" s="57">
        <v>0.1732418524871355</v>
      </c>
      <c r="AW75" s="59">
        <v>0.10602284527518174</v>
      </c>
      <c r="AX75" s="61"/>
      <c r="AY75" s="58">
        <v>9.8039215686274508E-3</v>
      </c>
      <c r="AZ75" s="57">
        <v>0.13614262560777957</v>
      </c>
      <c r="BA75" s="57">
        <v>0.13636363636363635</v>
      </c>
      <c r="BB75" s="57">
        <v>0.16986706056129985</v>
      </c>
      <c r="BC75" s="59">
        <v>0.12393162393162394</v>
      </c>
      <c r="BD75" s="61"/>
      <c r="BE75" s="58">
        <v>3.2586558044806514E-2</v>
      </c>
      <c r="BF75" s="57">
        <v>0.13529411764705881</v>
      </c>
      <c r="BG75" s="57">
        <v>0.13522012578616352</v>
      </c>
      <c r="BH75" s="57">
        <v>0.18157181571815717</v>
      </c>
      <c r="BI75" s="59">
        <v>0.12888015717092338</v>
      </c>
      <c r="BJ75" s="61"/>
      <c r="BK75" s="58">
        <v>4.3668122270742356E-2</v>
      </c>
      <c r="BL75" s="57">
        <v>0.13139418254764293</v>
      </c>
      <c r="BM75" s="57">
        <v>9.9879663056558363E-2</v>
      </c>
      <c r="BN75" s="57">
        <v>0.17399617590822181</v>
      </c>
      <c r="BO75" s="59">
        <v>0.11962931760741365</v>
      </c>
      <c r="BP75" s="63"/>
      <c r="BQ75" s="58">
        <v>0.05</v>
      </c>
      <c r="BR75" s="57">
        <v>0.13513513513513514</v>
      </c>
      <c r="BS75" s="57">
        <v>0.16546762589928057</v>
      </c>
      <c r="BT75" s="57">
        <v>0.17873303167420815</v>
      </c>
      <c r="BU75" s="59">
        <v>0.14015238974832603</v>
      </c>
      <c r="BV75" s="57"/>
      <c r="BW75" s="58">
        <v>8.8546679499518763E-2</v>
      </c>
      <c r="BX75" s="72">
        <v>0.15691056910569107</v>
      </c>
      <c r="BY75" s="72">
        <v>0.14736842105263157</v>
      </c>
      <c r="BZ75" s="72">
        <v>0.16564417177914109</v>
      </c>
      <c r="CA75" s="59">
        <v>0.14194780394653086</v>
      </c>
      <c r="CB75" s="61"/>
      <c r="CC75" s="58">
        <v>0.10052910052910052</v>
      </c>
      <c r="CD75" s="72">
        <v>0.16297468354430381</v>
      </c>
      <c r="CE75" s="72">
        <v>0.17118512780790085</v>
      </c>
      <c r="CF75" s="72">
        <v>0.18920972644376899</v>
      </c>
      <c r="CG75" s="59">
        <v>0.15784215784215785</v>
      </c>
    </row>
    <row r="76" spans="1:85">
      <c r="A76" s="52" t="s">
        <v>34</v>
      </c>
      <c r="B76" s="1"/>
      <c r="C76" s="142">
        <v>2</v>
      </c>
      <c r="D76" s="143">
        <v>2</v>
      </c>
      <c r="E76" s="143">
        <v>2</v>
      </c>
      <c r="F76" s="143">
        <v>2</v>
      </c>
      <c r="G76" s="125">
        <v>8</v>
      </c>
      <c r="H76" s="1"/>
      <c r="I76" s="142">
        <v>2</v>
      </c>
      <c r="J76" s="143">
        <v>2</v>
      </c>
      <c r="K76" s="143">
        <v>2</v>
      </c>
      <c r="L76" s="143">
        <v>2</v>
      </c>
      <c r="M76" s="125">
        <v>8</v>
      </c>
      <c r="N76" s="1"/>
      <c r="O76" s="142">
        <v>2</v>
      </c>
      <c r="P76" s="143">
        <v>2</v>
      </c>
      <c r="Q76" s="143">
        <v>2</v>
      </c>
      <c r="R76" s="143">
        <v>22</v>
      </c>
      <c r="S76" s="125">
        <v>28</v>
      </c>
      <c r="T76" s="1"/>
      <c r="U76" s="142">
        <v>3</v>
      </c>
      <c r="V76" s="143">
        <v>3</v>
      </c>
      <c r="W76" s="143">
        <v>3</v>
      </c>
      <c r="X76" s="143">
        <v>3</v>
      </c>
      <c r="Y76" s="125">
        <v>12</v>
      </c>
      <c r="Z76" s="130"/>
      <c r="AA76" s="142">
        <v>5</v>
      </c>
      <c r="AB76" s="143">
        <v>6</v>
      </c>
      <c r="AC76" s="143">
        <v>6</v>
      </c>
      <c r="AD76" s="143">
        <v>7</v>
      </c>
      <c r="AE76" s="125">
        <v>24</v>
      </c>
      <c r="AF76" s="1"/>
      <c r="AG76" s="142">
        <v>6</v>
      </c>
      <c r="AH76" s="143">
        <v>7</v>
      </c>
      <c r="AI76" s="143">
        <v>16</v>
      </c>
      <c r="AJ76" s="143">
        <v>18</v>
      </c>
      <c r="AK76" s="125">
        <v>47</v>
      </c>
      <c r="AL76" s="1"/>
      <c r="AM76" s="142">
        <v>18</v>
      </c>
      <c r="AN76" s="143">
        <v>18</v>
      </c>
      <c r="AO76" s="143">
        <v>18</v>
      </c>
      <c r="AP76" s="143">
        <v>17</v>
      </c>
      <c r="AQ76" s="125">
        <v>71</v>
      </c>
      <c r="AR76" s="1"/>
      <c r="AS76" s="142">
        <v>19</v>
      </c>
      <c r="AT76" s="143">
        <v>19</v>
      </c>
      <c r="AU76" s="143">
        <v>19</v>
      </c>
      <c r="AV76" s="143">
        <v>18</v>
      </c>
      <c r="AW76" s="125">
        <v>75</v>
      </c>
      <c r="AX76" s="1"/>
      <c r="AY76" s="142">
        <v>20</v>
      </c>
      <c r="AZ76" s="123">
        <v>20</v>
      </c>
      <c r="BA76" s="123">
        <v>22</v>
      </c>
      <c r="BB76" s="123">
        <v>21</v>
      </c>
      <c r="BC76" s="125">
        <v>83</v>
      </c>
      <c r="BD76" s="1"/>
      <c r="BE76" s="142">
        <v>21</v>
      </c>
      <c r="BF76" s="123">
        <v>22</v>
      </c>
      <c r="BG76" s="123">
        <v>23</v>
      </c>
      <c r="BH76" s="123">
        <v>17</v>
      </c>
      <c r="BI76" s="125">
        <v>83</v>
      </c>
      <c r="BJ76" s="1"/>
      <c r="BK76" s="142">
        <v>22</v>
      </c>
      <c r="BL76" s="123">
        <v>24</v>
      </c>
      <c r="BM76" s="123">
        <v>23</v>
      </c>
      <c r="BN76" s="123">
        <v>26</v>
      </c>
      <c r="BO76" s="144">
        <v>95</v>
      </c>
      <c r="BP76" s="96"/>
      <c r="BQ76" s="142">
        <v>25</v>
      </c>
      <c r="BR76" s="123">
        <v>26</v>
      </c>
      <c r="BS76" s="123">
        <v>26</v>
      </c>
      <c r="BT76" s="123">
        <v>28</v>
      </c>
      <c r="BU76" s="144">
        <v>105</v>
      </c>
      <c r="BV76" s="1"/>
      <c r="BW76" s="142">
        <v>29</v>
      </c>
      <c r="BX76" s="123">
        <v>27</v>
      </c>
      <c r="BY76" s="123">
        <v>27</v>
      </c>
      <c r="BZ76" s="123">
        <v>29</v>
      </c>
      <c r="CA76" s="144">
        <v>112</v>
      </c>
      <c r="CB76" s="1"/>
      <c r="CC76" s="142">
        <v>27</v>
      </c>
      <c r="CD76" s="123">
        <v>24</v>
      </c>
      <c r="CE76" s="123">
        <v>24</v>
      </c>
      <c r="CF76" s="123">
        <v>24</v>
      </c>
      <c r="CG76" s="145">
        <v>99</v>
      </c>
    </row>
    <row r="77" spans="1:85">
      <c r="A77" s="52" t="s">
        <v>180</v>
      </c>
      <c r="B77" s="1"/>
      <c r="C77" s="131">
        <v>33</v>
      </c>
      <c r="D77" s="80">
        <v>30</v>
      </c>
      <c r="E77" s="80">
        <v>13</v>
      </c>
      <c r="F77" s="80">
        <v>24</v>
      </c>
      <c r="G77" s="132">
        <v>100</v>
      </c>
      <c r="H77" s="132"/>
      <c r="I77" s="131">
        <v>30</v>
      </c>
      <c r="J77" s="80">
        <v>31</v>
      </c>
      <c r="K77" s="80">
        <v>28</v>
      </c>
      <c r="L77" s="80">
        <v>29</v>
      </c>
      <c r="M77" s="132">
        <v>118</v>
      </c>
      <c r="N77" s="1"/>
      <c r="O77" s="131">
        <v>-11</v>
      </c>
      <c r="P77" s="80">
        <v>-6</v>
      </c>
      <c r="Q77" s="80">
        <v>12</v>
      </c>
      <c r="R77" s="80">
        <v>16</v>
      </c>
      <c r="S77" s="132">
        <v>11</v>
      </c>
      <c r="T77" s="1"/>
      <c r="U77" s="131">
        <v>8</v>
      </c>
      <c r="V77" s="80">
        <v>31</v>
      </c>
      <c r="W77" s="80">
        <v>37</v>
      </c>
      <c r="X77" s="80">
        <v>27</v>
      </c>
      <c r="Y77" s="132">
        <v>103</v>
      </c>
      <c r="Z77" s="130"/>
      <c r="AA77" s="131">
        <v>20</v>
      </c>
      <c r="AB77" s="80">
        <v>46</v>
      </c>
      <c r="AC77" s="80">
        <v>48</v>
      </c>
      <c r="AD77" s="80">
        <v>33</v>
      </c>
      <c r="AE77" s="132">
        <v>147</v>
      </c>
      <c r="AF77" s="1"/>
      <c r="AG77" s="131">
        <v>27</v>
      </c>
      <c r="AH77" s="80">
        <v>43</v>
      </c>
      <c r="AI77" s="80">
        <v>54</v>
      </c>
      <c r="AJ77" s="80">
        <v>72</v>
      </c>
      <c r="AK77" s="132">
        <v>196</v>
      </c>
      <c r="AL77" s="1"/>
      <c r="AM77" s="131">
        <v>9</v>
      </c>
      <c r="AN77" s="80">
        <v>33</v>
      </c>
      <c r="AO77" s="80">
        <v>44</v>
      </c>
      <c r="AP77" s="80">
        <v>42</v>
      </c>
      <c r="AQ77" s="132">
        <v>128</v>
      </c>
      <c r="AR77" s="1"/>
      <c r="AS77" s="131">
        <v>-16</v>
      </c>
      <c r="AT77" s="80">
        <v>15.199999999999989</v>
      </c>
      <c r="AU77" s="80">
        <v>47</v>
      </c>
      <c r="AV77" s="80">
        <v>83</v>
      </c>
      <c r="AW77" s="132">
        <v>129.20000000000005</v>
      </c>
      <c r="AX77" s="1"/>
      <c r="AY77" s="131">
        <v>-16</v>
      </c>
      <c r="AZ77" s="80">
        <v>64</v>
      </c>
      <c r="BA77" s="80">
        <v>65</v>
      </c>
      <c r="BB77" s="80">
        <v>94</v>
      </c>
      <c r="BC77" s="132">
        <v>207</v>
      </c>
      <c r="BD77" s="1"/>
      <c r="BE77" s="131">
        <v>-5</v>
      </c>
      <c r="BF77" s="80">
        <v>70</v>
      </c>
      <c r="BG77" s="80">
        <v>63</v>
      </c>
      <c r="BH77" s="80">
        <v>117</v>
      </c>
      <c r="BI77" s="132">
        <v>245</v>
      </c>
      <c r="BJ77" s="1"/>
      <c r="BK77" s="131">
        <v>8</v>
      </c>
      <c r="BL77" s="80">
        <v>107</v>
      </c>
      <c r="BM77" s="80">
        <v>60</v>
      </c>
      <c r="BN77" s="80">
        <v>156</v>
      </c>
      <c r="BO77" s="132">
        <v>331</v>
      </c>
      <c r="BP77" s="96"/>
      <c r="BQ77" s="131">
        <v>16</v>
      </c>
      <c r="BR77" s="80">
        <v>119</v>
      </c>
      <c r="BS77" s="80">
        <v>158</v>
      </c>
      <c r="BT77" s="80">
        <v>209</v>
      </c>
      <c r="BU77" s="132">
        <v>502</v>
      </c>
      <c r="BV77" s="1"/>
      <c r="BW77" s="131">
        <v>63</v>
      </c>
      <c r="BX77" s="133">
        <v>166</v>
      </c>
      <c r="BY77" s="133">
        <v>141</v>
      </c>
      <c r="BZ77" s="133">
        <v>187</v>
      </c>
      <c r="CA77" s="132">
        <v>557</v>
      </c>
      <c r="CB77" s="1"/>
      <c r="CC77" s="131">
        <v>87</v>
      </c>
      <c r="CD77" s="133">
        <v>182</v>
      </c>
      <c r="CE77" s="133">
        <v>197</v>
      </c>
      <c r="CF77" s="133">
        <v>225</v>
      </c>
      <c r="CG77" s="132">
        <v>691</v>
      </c>
    </row>
    <row r="78" spans="1:85" s="60" customFormat="1">
      <c r="A78" s="54" t="s">
        <v>85</v>
      </c>
      <c r="C78" s="58">
        <v>0.33333333333333331</v>
      </c>
      <c r="D78" s="57">
        <v>0.30927835051546393</v>
      </c>
      <c r="E78" s="57">
        <v>0.17567567567567569</v>
      </c>
      <c r="F78" s="57">
        <v>0.21052631578947367</v>
      </c>
      <c r="G78" s="59">
        <v>0.26041666666666669</v>
      </c>
      <c r="I78" s="58">
        <v>0.26315789473684209</v>
      </c>
      <c r="J78" s="57">
        <v>0.25203252032520324</v>
      </c>
      <c r="K78" s="57">
        <v>0.2413793103448276</v>
      </c>
      <c r="L78" s="57">
        <v>0.20567375886524822</v>
      </c>
      <c r="M78" s="59">
        <v>0.23886639676113361</v>
      </c>
      <c r="O78" s="58">
        <v>-0.19298245614035087</v>
      </c>
      <c r="P78" s="57">
        <v>-7.8947368421052627E-2</v>
      </c>
      <c r="Q78" s="57">
        <v>0.13636363636363635</v>
      </c>
      <c r="R78" s="57">
        <v>0.11940298507462686</v>
      </c>
      <c r="S78" s="59">
        <v>3.0985915492957747E-2</v>
      </c>
      <c r="U78" s="58">
        <v>9.7560975609756101E-2</v>
      </c>
      <c r="V78" s="57">
        <v>0.22302158273381295</v>
      </c>
      <c r="W78" s="57">
        <v>0.23417721518987342</v>
      </c>
      <c r="X78" s="57">
        <v>0.19424460431654678</v>
      </c>
      <c r="Y78" s="59">
        <v>0.19884169884169883</v>
      </c>
      <c r="Z78" s="57"/>
      <c r="AA78" s="58">
        <v>0.11627906976744186</v>
      </c>
      <c r="AB78" s="57">
        <v>0.17490494296577946</v>
      </c>
      <c r="AC78" s="57">
        <v>0.18604651162790697</v>
      </c>
      <c r="AD78" s="57">
        <v>0.14163090128755365</v>
      </c>
      <c r="AE78" s="59">
        <v>0.15874730021598271</v>
      </c>
      <c r="AG78" s="58">
        <v>0.12</v>
      </c>
      <c r="AH78" s="57">
        <v>0.15579710144927536</v>
      </c>
      <c r="AI78" s="57">
        <v>0.12442396313364056</v>
      </c>
      <c r="AJ78" s="57">
        <v>0.14723926380368099</v>
      </c>
      <c r="AK78" s="59">
        <v>0.13764044943820225</v>
      </c>
      <c r="AM78" s="58">
        <v>2.4456521739130436E-2</v>
      </c>
      <c r="AN78" s="57">
        <v>6.903765690376569E-2</v>
      </c>
      <c r="AO78" s="57">
        <v>9.3617021276595741E-2</v>
      </c>
      <c r="AP78" s="57">
        <v>8.9743589743589744E-2</v>
      </c>
      <c r="AQ78" s="59">
        <v>7.1748878923766815E-2</v>
      </c>
      <c r="AS78" s="58">
        <v>-4.1131105398457581E-2</v>
      </c>
      <c r="AT78" s="57">
        <v>3.2971800433839453E-2</v>
      </c>
      <c r="AU78" s="57">
        <v>9.5334685598377281E-2</v>
      </c>
      <c r="AV78" s="57">
        <v>0.14236706689536879</v>
      </c>
      <c r="AW78" s="59">
        <v>6.70820353063344E-2</v>
      </c>
      <c r="AY78" s="58">
        <v>-3.9215686274509803E-2</v>
      </c>
      <c r="AZ78" s="57">
        <v>0.10372771474878444</v>
      </c>
      <c r="BA78" s="57">
        <v>0.10188087774294671</v>
      </c>
      <c r="BB78" s="57">
        <v>0.13884785819793205</v>
      </c>
      <c r="BC78" s="59">
        <v>8.8461538461538466E-2</v>
      </c>
      <c r="BE78" s="58">
        <v>-1.0183299389002037E-2</v>
      </c>
      <c r="BF78" s="57">
        <v>0.10294117647058823</v>
      </c>
      <c r="BG78" s="57">
        <v>9.9056603773584911E-2</v>
      </c>
      <c r="BH78" s="57">
        <v>0.15853658536585366</v>
      </c>
      <c r="BI78" s="59">
        <v>9.6267190569744601E-2</v>
      </c>
      <c r="BK78" s="58">
        <v>1.1644832605531296E-2</v>
      </c>
      <c r="BL78" s="57">
        <v>0.10732196589769308</v>
      </c>
      <c r="BM78" s="57">
        <v>7.2202166064981949E-2</v>
      </c>
      <c r="BN78" s="57">
        <v>0.14913957934990441</v>
      </c>
      <c r="BO78" s="59">
        <v>9.2951418140971631E-2</v>
      </c>
      <c r="BP78" s="63"/>
      <c r="BQ78" s="58">
        <v>1.9512195121951219E-2</v>
      </c>
      <c r="BR78" s="57">
        <v>0.11090400745573159</v>
      </c>
      <c r="BS78" s="57">
        <v>0.1420863309352518</v>
      </c>
      <c r="BT78" s="57">
        <v>0.15761689291101055</v>
      </c>
      <c r="BU78" s="59">
        <v>0.11590856615100438</v>
      </c>
      <c r="BW78" s="58">
        <v>6.0635226179018287E-2</v>
      </c>
      <c r="BX78" s="72">
        <v>0.13495934959349593</v>
      </c>
      <c r="BY78" s="72">
        <v>0.12368421052631579</v>
      </c>
      <c r="BZ78" s="72">
        <v>0.14340490797546013</v>
      </c>
      <c r="CA78" s="59">
        <v>0.11818374708253766</v>
      </c>
      <c r="CC78" s="58">
        <v>7.6719576719576715E-2</v>
      </c>
      <c r="CD78" s="72">
        <v>0.14398734177215189</v>
      </c>
      <c r="CE78" s="72">
        <v>0.15259488768396592</v>
      </c>
      <c r="CF78" s="72">
        <v>0.17097264437689969</v>
      </c>
      <c r="CG78" s="59">
        <v>0.13806193806193806</v>
      </c>
    </row>
    <row r="79" spans="1:85" ht="5.25" customHeight="1">
      <c r="A79" s="52"/>
      <c r="B79" s="130"/>
      <c r="C79" s="146"/>
      <c r="D79" s="130"/>
      <c r="E79" s="130"/>
      <c r="F79" s="130"/>
      <c r="G79" s="147"/>
      <c r="H79" s="1"/>
      <c r="I79" s="146"/>
      <c r="J79" s="130"/>
      <c r="K79" s="130"/>
      <c r="L79" s="130"/>
      <c r="M79" s="147"/>
      <c r="N79" s="1"/>
      <c r="O79" s="146"/>
      <c r="P79" s="130"/>
      <c r="Q79" s="130"/>
      <c r="R79" s="130"/>
      <c r="S79" s="147"/>
      <c r="T79" s="1"/>
      <c r="U79" s="146"/>
      <c r="V79" s="130"/>
      <c r="W79" s="130"/>
      <c r="X79" s="130"/>
      <c r="Y79" s="147"/>
      <c r="Z79" s="1"/>
      <c r="AA79" s="146"/>
      <c r="AB79" s="130"/>
      <c r="AC79" s="130"/>
      <c r="AD79" s="130"/>
      <c r="AE79" s="147"/>
      <c r="AF79" s="1"/>
      <c r="AG79" s="146"/>
      <c r="AH79" s="130"/>
      <c r="AI79" s="130"/>
      <c r="AJ79" s="130"/>
      <c r="AK79" s="147"/>
      <c r="AL79" s="1"/>
      <c r="AM79" s="146"/>
      <c r="AN79" s="130"/>
      <c r="AO79" s="130"/>
      <c r="AP79" s="130"/>
      <c r="AQ79" s="147"/>
      <c r="AR79" s="1"/>
      <c r="AS79" s="146"/>
      <c r="AT79" s="130"/>
      <c r="AU79" s="130"/>
      <c r="AV79" s="130"/>
      <c r="AW79" s="147"/>
      <c r="AX79" s="1"/>
      <c r="AY79" s="146"/>
      <c r="AZ79" s="130"/>
      <c r="BA79" s="130"/>
      <c r="BB79" s="130"/>
      <c r="BC79" s="147"/>
      <c r="BD79" s="1"/>
      <c r="BE79" s="146"/>
      <c r="BF79" s="130"/>
      <c r="BG79" s="130"/>
      <c r="BH79" s="130"/>
      <c r="BI79" s="147"/>
      <c r="BJ79" s="1"/>
      <c r="BK79" s="146"/>
      <c r="BL79" s="130"/>
      <c r="BM79" s="130"/>
      <c r="BN79" s="130"/>
      <c r="BO79" s="147"/>
      <c r="BP79" s="96"/>
      <c r="BQ79" s="146"/>
      <c r="BR79" s="130"/>
      <c r="BS79" s="130"/>
      <c r="BT79" s="130"/>
      <c r="BU79" s="147"/>
      <c r="BV79" s="1"/>
      <c r="BW79" s="146"/>
      <c r="BX79" s="148"/>
      <c r="BY79" s="148"/>
      <c r="BZ79" s="148"/>
      <c r="CA79" s="147"/>
      <c r="CB79" s="1"/>
      <c r="CC79" s="146"/>
      <c r="CD79" s="148"/>
      <c r="CE79" s="148"/>
      <c r="CF79" s="148"/>
      <c r="CG79" s="147"/>
    </row>
    <row r="80" spans="1:85">
      <c r="A80" s="53" t="s">
        <v>88</v>
      </c>
      <c r="B80" s="134"/>
      <c r="C80" s="121"/>
      <c r="D80" s="116"/>
      <c r="E80" s="116"/>
      <c r="F80" s="116"/>
      <c r="G80" s="122"/>
      <c r="H80" s="1"/>
      <c r="I80" s="121"/>
      <c r="J80" s="116"/>
      <c r="K80" s="116"/>
      <c r="L80" s="116"/>
      <c r="M80" s="122"/>
      <c r="N80" s="1"/>
      <c r="O80" s="121"/>
      <c r="P80" s="116"/>
      <c r="Q80" s="116"/>
      <c r="R80" s="116"/>
      <c r="S80" s="122"/>
      <c r="T80" s="1"/>
      <c r="U80" s="121"/>
      <c r="V80" s="116"/>
      <c r="W80" s="116"/>
      <c r="X80" s="116"/>
      <c r="Y80" s="122"/>
      <c r="Z80" s="1"/>
      <c r="AA80" s="121"/>
      <c r="AB80" s="116"/>
      <c r="AC80" s="116"/>
      <c r="AD80" s="116"/>
      <c r="AE80" s="122"/>
      <c r="AF80" s="1"/>
      <c r="AG80" s="121"/>
      <c r="AH80" s="116"/>
      <c r="AI80" s="116"/>
      <c r="AJ80" s="116"/>
      <c r="AK80" s="122"/>
      <c r="AL80" s="1"/>
      <c r="AM80" s="121"/>
      <c r="AN80" s="116"/>
      <c r="AO80" s="116"/>
      <c r="AP80" s="116"/>
      <c r="AQ80" s="122"/>
      <c r="AR80" s="1"/>
      <c r="AS80" s="121"/>
      <c r="AT80" s="116"/>
      <c r="AU80" s="116"/>
      <c r="AV80" s="116"/>
      <c r="AW80" s="122"/>
      <c r="AX80" s="1"/>
      <c r="AY80" s="121"/>
      <c r="AZ80" s="116"/>
      <c r="BA80" s="116"/>
      <c r="BB80" s="116"/>
      <c r="BC80" s="122"/>
      <c r="BD80" s="1"/>
      <c r="BE80" s="121"/>
      <c r="BF80" s="116"/>
      <c r="BG80" s="116"/>
      <c r="BH80" s="116"/>
      <c r="BI80" s="122"/>
      <c r="BJ80" s="1"/>
      <c r="BK80" s="121"/>
      <c r="BL80" s="116"/>
      <c r="BM80" s="116"/>
      <c r="BN80" s="116"/>
      <c r="BO80" s="122"/>
      <c r="BP80" s="96"/>
      <c r="BQ80" s="121"/>
      <c r="BR80" s="116"/>
      <c r="BS80" s="116"/>
      <c r="BT80" s="116"/>
      <c r="BU80" s="122"/>
      <c r="BV80" s="1"/>
      <c r="BW80" s="121"/>
      <c r="BX80" s="116"/>
      <c r="BY80" s="116"/>
      <c r="BZ80" s="116"/>
      <c r="CA80" s="122"/>
      <c r="CB80" s="1"/>
      <c r="CC80" s="121"/>
      <c r="CD80" s="116"/>
      <c r="CE80" s="116"/>
      <c r="CF80" s="116"/>
      <c r="CG80" s="122"/>
    </row>
    <row r="81" spans="1:85">
      <c r="A81" s="77" t="s">
        <v>84</v>
      </c>
      <c r="B81" s="134"/>
      <c r="C81" s="127">
        <v>0</v>
      </c>
      <c r="D81" s="128">
        <v>0</v>
      </c>
      <c r="E81" s="128">
        <v>0</v>
      </c>
      <c r="F81" s="128">
        <v>0</v>
      </c>
      <c r="G81" s="129">
        <v>0</v>
      </c>
      <c r="H81" s="1"/>
      <c r="I81" s="127">
        <v>0</v>
      </c>
      <c r="J81" s="128">
        <v>0</v>
      </c>
      <c r="K81" s="128">
        <v>0</v>
      </c>
      <c r="L81" s="128">
        <v>0</v>
      </c>
      <c r="M81" s="129">
        <v>0</v>
      </c>
      <c r="N81" s="1"/>
      <c r="O81" s="127">
        <v>0</v>
      </c>
      <c r="P81" s="128">
        <v>0</v>
      </c>
      <c r="Q81" s="128">
        <v>0</v>
      </c>
      <c r="R81" s="128">
        <v>0</v>
      </c>
      <c r="S81" s="129">
        <v>0</v>
      </c>
      <c r="T81" s="1"/>
      <c r="U81" s="127">
        <v>0</v>
      </c>
      <c r="V81" s="128">
        <v>0</v>
      </c>
      <c r="W81" s="128">
        <v>0</v>
      </c>
      <c r="X81" s="128">
        <v>0</v>
      </c>
      <c r="Y81" s="129">
        <v>0</v>
      </c>
      <c r="Z81" s="1"/>
      <c r="AA81" s="127">
        <v>0</v>
      </c>
      <c r="AB81" s="128">
        <v>0</v>
      </c>
      <c r="AC81" s="128">
        <v>0</v>
      </c>
      <c r="AD81" s="128">
        <v>0</v>
      </c>
      <c r="AE81" s="129">
        <v>0</v>
      </c>
      <c r="AF81" s="1"/>
      <c r="AG81" s="127">
        <v>0</v>
      </c>
      <c r="AH81" s="128">
        <v>0</v>
      </c>
      <c r="AI81" s="128">
        <v>0</v>
      </c>
      <c r="AJ81" s="128">
        <v>0</v>
      </c>
      <c r="AK81" s="129">
        <v>0</v>
      </c>
      <c r="AL81" s="1"/>
      <c r="AM81" s="127">
        <v>0</v>
      </c>
      <c r="AN81" s="128">
        <v>0</v>
      </c>
      <c r="AO81" s="128">
        <v>0</v>
      </c>
      <c r="AP81" s="128">
        <v>0</v>
      </c>
      <c r="AQ81" s="129">
        <v>0</v>
      </c>
      <c r="AR81" s="1"/>
      <c r="AS81" s="127">
        <v>0</v>
      </c>
      <c r="AT81" s="128">
        <v>0</v>
      </c>
      <c r="AU81" s="128">
        <v>0</v>
      </c>
      <c r="AV81" s="128">
        <v>0</v>
      </c>
      <c r="AW81" s="129">
        <v>0</v>
      </c>
      <c r="AX81" s="1"/>
      <c r="AY81" s="127">
        <v>0</v>
      </c>
      <c r="AZ81" s="128">
        <v>0</v>
      </c>
      <c r="BA81" s="128">
        <v>0</v>
      </c>
      <c r="BB81" s="128">
        <v>0</v>
      </c>
      <c r="BC81" s="129">
        <v>0</v>
      </c>
      <c r="BD81" s="1"/>
      <c r="BE81" s="127">
        <v>0</v>
      </c>
      <c r="BF81" s="128">
        <v>0</v>
      </c>
      <c r="BG81" s="128">
        <v>0</v>
      </c>
      <c r="BH81" s="128">
        <v>0</v>
      </c>
      <c r="BI81" s="129">
        <v>0</v>
      </c>
      <c r="BJ81" s="1"/>
      <c r="BK81" s="127">
        <v>0</v>
      </c>
      <c r="BL81" s="128">
        <v>0</v>
      </c>
      <c r="BM81" s="128">
        <v>0</v>
      </c>
      <c r="BN81" s="128">
        <v>0</v>
      </c>
      <c r="BO81" s="129">
        <v>0</v>
      </c>
      <c r="BP81" s="96"/>
      <c r="BQ81" s="127">
        <v>0</v>
      </c>
      <c r="BR81" s="128">
        <v>0</v>
      </c>
      <c r="BS81" s="128">
        <v>0</v>
      </c>
      <c r="BT81" s="128">
        <v>0</v>
      </c>
      <c r="BU81" s="129">
        <v>0</v>
      </c>
      <c r="BV81" s="1"/>
      <c r="BW81" s="127">
        <v>0</v>
      </c>
      <c r="BX81" s="128">
        <v>0</v>
      </c>
      <c r="BY81" s="128">
        <v>0</v>
      </c>
      <c r="BZ81" s="128">
        <v>0</v>
      </c>
      <c r="CA81" s="129">
        <v>0</v>
      </c>
      <c r="CB81" s="1"/>
      <c r="CC81" s="127">
        <v>0</v>
      </c>
      <c r="CD81" s="128">
        <v>0</v>
      </c>
      <c r="CE81" s="128">
        <v>0</v>
      </c>
      <c r="CF81" s="128">
        <v>0</v>
      </c>
      <c r="CG81" s="129">
        <v>0</v>
      </c>
    </row>
    <row r="82" spans="1:85">
      <c r="A82" s="52" t="s">
        <v>15</v>
      </c>
      <c r="B82" s="134"/>
      <c r="C82" s="124" t="s">
        <v>89</v>
      </c>
      <c r="D82" s="123" t="s">
        <v>89</v>
      </c>
      <c r="E82" s="123" t="s">
        <v>89</v>
      </c>
      <c r="F82" s="123" t="s">
        <v>89</v>
      </c>
      <c r="G82" s="125">
        <v>0</v>
      </c>
      <c r="H82" s="1"/>
      <c r="I82" s="124" t="s">
        <v>89</v>
      </c>
      <c r="J82" s="123" t="s">
        <v>89</v>
      </c>
      <c r="K82" s="123" t="s">
        <v>89</v>
      </c>
      <c r="L82" s="123" t="s">
        <v>89</v>
      </c>
      <c r="M82" s="125">
        <v>0</v>
      </c>
      <c r="N82" s="1"/>
      <c r="O82" s="124" t="s">
        <v>89</v>
      </c>
      <c r="P82" s="123" t="s">
        <v>89</v>
      </c>
      <c r="Q82" s="123" t="s">
        <v>89</v>
      </c>
      <c r="R82" s="123" t="s">
        <v>89</v>
      </c>
      <c r="S82" s="125">
        <v>0</v>
      </c>
      <c r="T82" s="1"/>
      <c r="U82" s="124" t="s">
        <v>89</v>
      </c>
      <c r="V82" s="123" t="s">
        <v>89</v>
      </c>
      <c r="W82" s="123" t="s">
        <v>89</v>
      </c>
      <c r="X82" s="123" t="s">
        <v>89</v>
      </c>
      <c r="Y82" s="125">
        <v>0</v>
      </c>
      <c r="Z82" s="1"/>
      <c r="AA82" s="124" t="s">
        <v>89</v>
      </c>
      <c r="AB82" s="123" t="s">
        <v>89</v>
      </c>
      <c r="AC82" s="123" t="s">
        <v>89</v>
      </c>
      <c r="AD82" s="123" t="s">
        <v>89</v>
      </c>
      <c r="AE82" s="125">
        <v>0</v>
      </c>
      <c r="AF82" s="1"/>
      <c r="AG82" s="146" t="s">
        <v>89</v>
      </c>
      <c r="AH82" s="123" t="s">
        <v>89</v>
      </c>
      <c r="AI82" s="123" t="s">
        <v>89</v>
      </c>
      <c r="AJ82" s="123" t="s">
        <v>89</v>
      </c>
      <c r="AK82" s="125">
        <v>0</v>
      </c>
      <c r="AL82" s="1"/>
      <c r="AM82" s="146" t="s">
        <v>89</v>
      </c>
      <c r="AN82" s="123" t="s">
        <v>89</v>
      </c>
      <c r="AO82" s="123" t="s">
        <v>89</v>
      </c>
      <c r="AP82" s="123" t="s">
        <v>89</v>
      </c>
      <c r="AQ82" s="125">
        <v>0</v>
      </c>
      <c r="AR82" s="1"/>
      <c r="AS82" s="146" t="s">
        <v>89</v>
      </c>
      <c r="AT82" s="123" t="s">
        <v>89</v>
      </c>
      <c r="AU82" s="123" t="s">
        <v>89</v>
      </c>
      <c r="AV82" s="123" t="s">
        <v>89</v>
      </c>
      <c r="AW82" s="125">
        <v>0</v>
      </c>
      <c r="AX82" s="1"/>
      <c r="AY82" s="146" t="s">
        <v>89</v>
      </c>
      <c r="AZ82" s="123" t="s">
        <v>89</v>
      </c>
      <c r="BA82" s="123" t="s">
        <v>89</v>
      </c>
      <c r="BB82" s="123" t="s">
        <v>89</v>
      </c>
      <c r="BC82" s="125">
        <v>0</v>
      </c>
      <c r="BD82" s="1"/>
      <c r="BE82" s="146" t="s">
        <v>89</v>
      </c>
      <c r="BF82" s="123" t="s">
        <v>89</v>
      </c>
      <c r="BG82" s="123" t="s">
        <v>89</v>
      </c>
      <c r="BH82" s="123" t="s">
        <v>89</v>
      </c>
      <c r="BI82" s="125">
        <v>0</v>
      </c>
      <c r="BJ82" s="1"/>
      <c r="BK82" s="146" t="s">
        <v>89</v>
      </c>
      <c r="BL82" s="123" t="s">
        <v>89</v>
      </c>
      <c r="BM82" s="123" t="s">
        <v>89</v>
      </c>
      <c r="BN82" s="123" t="s">
        <v>89</v>
      </c>
      <c r="BO82" s="125">
        <v>0</v>
      </c>
      <c r="BP82" s="96"/>
      <c r="BQ82" s="146" t="s">
        <v>89</v>
      </c>
      <c r="BR82" s="130" t="s">
        <v>89</v>
      </c>
      <c r="BS82" s="130" t="s">
        <v>89</v>
      </c>
      <c r="BT82" s="130" t="s">
        <v>89</v>
      </c>
      <c r="BU82" s="125">
        <v>0</v>
      </c>
      <c r="BV82" s="1"/>
      <c r="BW82" s="146" t="s">
        <v>89</v>
      </c>
      <c r="BX82" s="130" t="s">
        <v>89</v>
      </c>
      <c r="BY82" s="130" t="s">
        <v>89</v>
      </c>
      <c r="BZ82" s="130" t="s">
        <v>89</v>
      </c>
      <c r="CA82" s="125">
        <v>0</v>
      </c>
      <c r="CB82" s="1"/>
      <c r="CC82" s="146" t="s">
        <v>89</v>
      </c>
      <c r="CD82" s="148" t="s">
        <v>89</v>
      </c>
      <c r="CE82" s="148" t="s">
        <v>89</v>
      </c>
      <c r="CF82" s="148" t="s">
        <v>89</v>
      </c>
      <c r="CG82" s="147" t="s">
        <v>89</v>
      </c>
    </row>
    <row r="83" spans="1:85" s="60" customFormat="1">
      <c r="A83" s="54" t="s">
        <v>85</v>
      </c>
      <c r="B83" s="57"/>
      <c r="C83" s="58" t="s">
        <v>89</v>
      </c>
      <c r="D83" s="57" t="s">
        <v>89</v>
      </c>
      <c r="E83" s="57" t="s">
        <v>89</v>
      </c>
      <c r="F83" s="57" t="s">
        <v>89</v>
      </c>
      <c r="G83" s="59" t="s">
        <v>89</v>
      </c>
      <c r="I83" s="58" t="s">
        <v>89</v>
      </c>
      <c r="J83" s="57" t="s">
        <v>89</v>
      </c>
      <c r="K83" s="57" t="s">
        <v>89</v>
      </c>
      <c r="L83" s="57" t="s">
        <v>89</v>
      </c>
      <c r="M83" s="59" t="s">
        <v>89</v>
      </c>
      <c r="O83" s="58" t="s">
        <v>89</v>
      </c>
      <c r="P83" s="57" t="s">
        <v>89</v>
      </c>
      <c r="Q83" s="57" t="s">
        <v>89</v>
      </c>
      <c r="R83" s="57" t="s">
        <v>89</v>
      </c>
      <c r="S83" s="59" t="s">
        <v>89</v>
      </c>
      <c r="U83" s="58" t="s">
        <v>89</v>
      </c>
      <c r="V83" s="57" t="s">
        <v>89</v>
      </c>
      <c r="W83" s="57" t="s">
        <v>89</v>
      </c>
      <c r="X83" s="57" t="s">
        <v>89</v>
      </c>
      <c r="Y83" s="59" t="s">
        <v>89</v>
      </c>
      <c r="AA83" s="58" t="s">
        <v>89</v>
      </c>
      <c r="AB83" s="57" t="s">
        <v>89</v>
      </c>
      <c r="AC83" s="57" t="s">
        <v>89</v>
      </c>
      <c r="AD83" s="57" t="s">
        <v>89</v>
      </c>
      <c r="AE83" s="59" t="s">
        <v>89</v>
      </c>
      <c r="AG83" s="58" t="s">
        <v>89</v>
      </c>
      <c r="AH83" s="57" t="s">
        <v>89</v>
      </c>
      <c r="AI83" s="57" t="s">
        <v>89</v>
      </c>
      <c r="AJ83" s="57" t="s">
        <v>89</v>
      </c>
      <c r="AK83" s="59" t="s">
        <v>89</v>
      </c>
      <c r="AM83" s="58" t="s">
        <v>89</v>
      </c>
      <c r="AN83" s="57" t="s">
        <v>89</v>
      </c>
      <c r="AO83" s="57" t="s">
        <v>89</v>
      </c>
      <c r="AP83" s="57" t="s">
        <v>89</v>
      </c>
      <c r="AQ83" s="59" t="s">
        <v>89</v>
      </c>
      <c r="AS83" s="58" t="s">
        <v>89</v>
      </c>
      <c r="AT83" s="57" t="s">
        <v>89</v>
      </c>
      <c r="AU83" s="57" t="s">
        <v>89</v>
      </c>
      <c r="AV83" s="57" t="s">
        <v>89</v>
      </c>
      <c r="AW83" s="59" t="s">
        <v>89</v>
      </c>
      <c r="AY83" s="58" t="s">
        <v>89</v>
      </c>
      <c r="AZ83" s="57" t="s">
        <v>89</v>
      </c>
      <c r="BA83" s="57" t="s">
        <v>89</v>
      </c>
      <c r="BB83" s="57" t="s">
        <v>89</v>
      </c>
      <c r="BC83" s="59" t="s">
        <v>89</v>
      </c>
      <c r="BE83" s="58" t="s">
        <v>89</v>
      </c>
      <c r="BF83" s="57" t="s">
        <v>89</v>
      </c>
      <c r="BG83" s="57" t="s">
        <v>89</v>
      </c>
      <c r="BH83" s="57" t="s">
        <v>89</v>
      </c>
      <c r="BI83" s="59" t="s">
        <v>89</v>
      </c>
      <c r="BK83" s="58" t="s">
        <v>89</v>
      </c>
      <c r="BL83" s="57" t="s">
        <v>89</v>
      </c>
      <c r="BM83" s="57" t="s">
        <v>89</v>
      </c>
      <c r="BN83" s="57" t="s">
        <v>89</v>
      </c>
      <c r="BO83" s="59" t="s">
        <v>89</v>
      </c>
      <c r="BP83" s="63"/>
      <c r="BQ83" s="58" t="s">
        <v>89</v>
      </c>
      <c r="BR83" s="57" t="s">
        <v>89</v>
      </c>
      <c r="BS83" s="57" t="s">
        <v>89</v>
      </c>
      <c r="BT83" s="57" t="s">
        <v>89</v>
      </c>
      <c r="BU83" s="59" t="s">
        <v>89</v>
      </c>
      <c r="BW83" s="58" t="s">
        <v>89</v>
      </c>
      <c r="BX83" s="57" t="s">
        <v>89</v>
      </c>
      <c r="BY83" s="57" t="s">
        <v>89</v>
      </c>
      <c r="BZ83" s="57" t="s">
        <v>89</v>
      </c>
      <c r="CA83" s="59" t="s">
        <v>89</v>
      </c>
      <c r="CC83" s="58" t="s">
        <v>89</v>
      </c>
      <c r="CD83" s="72" t="s">
        <v>89</v>
      </c>
      <c r="CE83" s="72" t="s">
        <v>89</v>
      </c>
      <c r="CF83" s="72" t="s">
        <v>89</v>
      </c>
      <c r="CG83" s="59" t="s">
        <v>89</v>
      </c>
    </row>
    <row r="84" spans="1:85">
      <c r="A84" s="52" t="s">
        <v>21</v>
      </c>
      <c r="B84" s="130"/>
      <c r="C84" s="138">
        <v>4</v>
      </c>
      <c r="D84" s="139">
        <v>4</v>
      </c>
      <c r="E84" s="139">
        <v>4</v>
      </c>
      <c r="F84" s="139">
        <v>4</v>
      </c>
      <c r="G84" s="125">
        <v>16</v>
      </c>
      <c r="H84" s="1"/>
      <c r="I84" s="138">
        <v>4</v>
      </c>
      <c r="J84" s="139">
        <v>4</v>
      </c>
      <c r="K84" s="139">
        <v>4</v>
      </c>
      <c r="L84" s="139">
        <v>4</v>
      </c>
      <c r="M84" s="125">
        <v>16</v>
      </c>
      <c r="N84" s="1"/>
      <c r="O84" s="138">
        <v>4</v>
      </c>
      <c r="P84" s="139">
        <v>4</v>
      </c>
      <c r="Q84" s="139">
        <v>4</v>
      </c>
      <c r="R84" s="139">
        <v>4</v>
      </c>
      <c r="S84" s="125">
        <v>16</v>
      </c>
      <c r="T84" s="1"/>
      <c r="U84" s="138">
        <v>4</v>
      </c>
      <c r="V84" s="139">
        <v>4</v>
      </c>
      <c r="W84" s="139">
        <v>4</v>
      </c>
      <c r="X84" s="139">
        <v>4</v>
      </c>
      <c r="Y84" s="125">
        <v>16</v>
      </c>
      <c r="Z84" s="1"/>
      <c r="AA84" s="138">
        <v>4</v>
      </c>
      <c r="AB84" s="139">
        <v>4</v>
      </c>
      <c r="AC84" s="139">
        <v>4</v>
      </c>
      <c r="AD84" s="139">
        <v>4</v>
      </c>
      <c r="AE84" s="125">
        <v>16</v>
      </c>
      <c r="AF84" s="1"/>
      <c r="AG84" s="138">
        <v>5</v>
      </c>
      <c r="AH84" s="139">
        <v>5</v>
      </c>
      <c r="AI84" s="139">
        <v>5</v>
      </c>
      <c r="AJ84" s="139">
        <v>5</v>
      </c>
      <c r="AK84" s="125">
        <v>20</v>
      </c>
      <c r="AL84" s="1"/>
      <c r="AM84" s="138">
        <v>6</v>
      </c>
      <c r="AN84" s="139">
        <v>6</v>
      </c>
      <c r="AO84" s="139">
        <v>6</v>
      </c>
      <c r="AP84" s="139">
        <v>6</v>
      </c>
      <c r="AQ84" s="125">
        <v>24</v>
      </c>
      <c r="AR84" s="1"/>
      <c r="AS84" s="138">
        <v>7</v>
      </c>
      <c r="AT84" s="139">
        <v>7</v>
      </c>
      <c r="AU84" s="139">
        <v>7</v>
      </c>
      <c r="AV84" s="139">
        <v>7</v>
      </c>
      <c r="AW84" s="125">
        <v>28</v>
      </c>
      <c r="AX84" s="1"/>
      <c r="AY84" s="138">
        <v>8</v>
      </c>
      <c r="AZ84" s="139">
        <v>8</v>
      </c>
      <c r="BA84" s="123">
        <v>10</v>
      </c>
      <c r="BB84" s="123">
        <v>10</v>
      </c>
      <c r="BC84" s="125">
        <v>36</v>
      </c>
      <c r="BD84" s="1"/>
      <c r="BE84" s="138">
        <v>10</v>
      </c>
      <c r="BF84" s="139">
        <v>10</v>
      </c>
      <c r="BG84" s="123">
        <v>16</v>
      </c>
      <c r="BH84" s="123">
        <v>16</v>
      </c>
      <c r="BI84" s="125">
        <v>52</v>
      </c>
      <c r="BJ84" s="1"/>
      <c r="BK84" s="138">
        <v>16</v>
      </c>
      <c r="BL84" s="139">
        <v>16</v>
      </c>
      <c r="BM84" s="123">
        <v>16</v>
      </c>
      <c r="BN84" s="123">
        <v>16</v>
      </c>
      <c r="BO84" s="141">
        <v>64</v>
      </c>
      <c r="BP84" s="96"/>
      <c r="BQ84" s="138">
        <v>20</v>
      </c>
      <c r="BR84" s="123">
        <v>20</v>
      </c>
      <c r="BS84" s="123">
        <v>20</v>
      </c>
      <c r="BT84" s="123">
        <v>20</v>
      </c>
      <c r="BU84" s="141">
        <v>80</v>
      </c>
      <c r="BV84" s="1"/>
      <c r="BW84" s="138">
        <v>24</v>
      </c>
      <c r="BX84" s="139">
        <v>24</v>
      </c>
      <c r="BY84" s="123">
        <v>24</v>
      </c>
      <c r="BZ84" s="123">
        <v>24</v>
      </c>
      <c r="CA84" s="141">
        <v>96</v>
      </c>
      <c r="CB84" s="1"/>
      <c r="CC84" s="138">
        <v>37</v>
      </c>
      <c r="CD84" s="123">
        <v>36</v>
      </c>
      <c r="CE84" s="123">
        <v>36</v>
      </c>
      <c r="CF84" s="123">
        <v>40</v>
      </c>
      <c r="CG84" s="141">
        <v>149</v>
      </c>
    </row>
    <row r="85" spans="1:85">
      <c r="A85" s="77" t="s">
        <v>86</v>
      </c>
      <c r="B85" s="116"/>
      <c r="C85" s="127">
        <v>-4</v>
      </c>
      <c r="D85" s="128">
        <v>-4</v>
      </c>
      <c r="E85" s="128">
        <v>-4</v>
      </c>
      <c r="F85" s="128">
        <v>-4</v>
      </c>
      <c r="G85" s="129">
        <v>-16</v>
      </c>
      <c r="H85" s="1"/>
      <c r="I85" s="127">
        <v>-4</v>
      </c>
      <c r="J85" s="128">
        <v>-4</v>
      </c>
      <c r="K85" s="128">
        <v>-4</v>
      </c>
      <c r="L85" s="128">
        <v>-4</v>
      </c>
      <c r="M85" s="129">
        <v>-16</v>
      </c>
      <c r="N85" s="1"/>
      <c r="O85" s="127">
        <v>-4</v>
      </c>
      <c r="P85" s="128">
        <v>-4</v>
      </c>
      <c r="Q85" s="128">
        <v>-4</v>
      </c>
      <c r="R85" s="128">
        <v>-4</v>
      </c>
      <c r="S85" s="129">
        <v>-16</v>
      </c>
      <c r="T85" s="1"/>
      <c r="U85" s="127">
        <v>-4</v>
      </c>
      <c r="V85" s="128">
        <v>-4</v>
      </c>
      <c r="W85" s="128">
        <v>-4</v>
      </c>
      <c r="X85" s="128">
        <v>-4</v>
      </c>
      <c r="Y85" s="129">
        <v>-16</v>
      </c>
      <c r="Z85" s="1"/>
      <c r="AA85" s="127">
        <v>-4</v>
      </c>
      <c r="AB85" s="128">
        <v>-4</v>
      </c>
      <c r="AC85" s="128">
        <v>-4</v>
      </c>
      <c r="AD85" s="128">
        <v>-4</v>
      </c>
      <c r="AE85" s="129">
        <v>-16</v>
      </c>
      <c r="AF85" s="1"/>
      <c r="AG85" s="127">
        <v>-5</v>
      </c>
      <c r="AH85" s="128">
        <v>-5</v>
      </c>
      <c r="AI85" s="128">
        <v>-5</v>
      </c>
      <c r="AJ85" s="128">
        <v>-5</v>
      </c>
      <c r="AK85" s="129">
        <v>-20</v>
      </c>
      <c r="AL85" s="1"/>
      <c r="AM85" s="127">
        <v>-6</v>
      </c>
      <c r="AN85" s="128">
        <v>-6</v>
      </c>
      <c r="AO85" s="128">
        <v>-6</v>
      </c>
      <c r="AP85" s="128">
        <v>-6</v>
      </c>
      <c r="AQ85" s="129">
        <v>-24</v>
      </c>
      <c r="AR85" s="123"/>
      <c r="AS85" s="127">
        <v>-7</v>
      </c>
      <c r="AT85" s="128">
        <v>-7</v>
      </c>
      <c r="AU85" s="128">
        <v>-7</v>
      </c>
      <c r="AV85" s="128">
        <v>-7</v>
      </c>
      <c r="AW85" s="129">
        <v>-28</v>
      </c>
      <c r="AX85" s="123"/>
      <c r="AY85" s="127">
        <v>-8</v>
      </c>
      <c r="AZ85" s="128">
        <v>-8</v>
      </c>
      <c r="BA85" s="128">
        <v>-10</v>
      </c>
      <c r="BB85" s="128">
        <v>-10</v>
      </c>
      <c r="BC85" s="129">
        <v>-36</v>
      </c>
      <c r="BD85" s="123"/>
      <c r="BE85" s="127">
        <v>-10</v>
      </c>
      <c r="BF85" s="128">
        <v>-10</v>
      </c>
      <c r="BG85" s="128">
        <v>-16</v>
      </c>
      <c r="BH85" s="128">
        <v>-16</v>
      </c>
      <c r="BI85" s="129">
        <v>-52</v>
      </c>
      <c r="BJ85" s="123"/>
      <c r="BK85" s="127">
        <v>-16</v>
      </c>
      <c r="BL85" s="128">
        <v>-16</v>
      </c>
      <c r="BM85" s="128">
        <v>-16</v>
      </c>
      <c r="BN85" s="128">
        <v>-16</v>
      </c>
      <c r="BO85" s="129">
        <v>-64</v>
      </c>
      <c r="BP85" s="96"/>
      <c r="BQ85" s="127">
        <v>-20</v>
      </c>
      <c r="BR85" s="128">
        <v>-20</v>
      </c>
      <c r="BS85" s="128">
        <v>-20</v>
      </c>
      <c r="BT85" s="128">
        <v>-20</v>
      </c>
      <c r="BU85" s="129">
        <v>-80</v>
      </c>
      <c r="BV85" s="1"/>
      <c r="BW85" s="127">
        <v>-24</v>
      </c>
      <c r="BX85" s="128">
        <v>-24</v>
      </c>
      <c r="BY85" s="128">
        <v>-24</v>
      </c>
      <c r="BZ85" s="128">
        <v>-24</v>
      </c>
      <c r="CA85" s="129">
        <v>-96</v>
      </c>
      <c r="CB85" s="1"/>
      <c r="CC85" s="127">
        <v>-37</v>
      </c>
      <c r="CD85" s="128">
        <v>-36</v>
      </c>
      <c r="CE85" s="128">
        <v>-36</v>
      </c>
      <c r="CF85" s="128">
        <v>-40</v>
      </c>
      <c r="CG85" s="129">
        <v>-149</v>
      </c>
    </row>
    <row r="86" spans="1:85" s="60" customFormat="1" ht="12" thickBot="1">
      <c r="A86" s="65" t="s">
        <v>85</v>
      </c>
      <c r="B86" s="57"/>
      <c r="C86" s="66" t="s">
        <v>89</v>
      </c>
      <c r="D86" s="67" t="s">
        <v>89</v>
      </c>
      <c r="E86" s="67" t="s">
        <v>89</v>
      </c>
      <c r="F86" s="67" t="s">
        <v>89</v>
      </c>
      <c r="G86" s="68" t="s">
        <v>89</v>
      </c>
      <c r="I86" s="66" t="s">
        <v>89</v>
      </c>
      <c r="J86" s="67" t="s">
        <v>89</v>
      </c>
      <c r="K86" s="67" t="s">
        <v>89</v>
      </c>
      <c r="L86" s="67" t="s">
        <v>89</v>
      </c>
      <c r="M86" s="68" t="s">
        <v>89</v>
      </c>
      <c r="O86" s="66" t="s">
        <v>89</v>
      </c>
      <c r="P86" s="67" t="s">
        <v>89</v>
      </c>
      <c r="Q86" s="67" t="s">
        <v>89</v>
      </c>
      <c r="R86" s="67" t="s">
        <v>89</v>
      </c>
      <c r="S86" s="68" t="s">
        <v>89</v>
      </c>
      <c r="U86" s="66" t="s">
        <v>89</v>
      </c>
      <c r="V86" s="67" t="s">
        <v>89</v>
      </c>
      <c r="W86" s="67" t="s">
        <v>89</v>
      </c>
      <c r="X86" s="67" t="s">
        <v>89</v>
      </c>
      <c r="Y86" s="68" t="s">
        <v>89</v>
      </c>
      <c r="AA86" s="66" t="s">
        <v>89</v>
      </c>
      <c r="AB86" s="67" t="s">
        <v>89</v>
      </c>
      <c r="AC86" s="67" t="s">
        <v>89</v>
      </c>
      <c r="AD86" s="67" t="s">
        <v>89</v>
      </c>
      <c r="AE86" s="68" t="s">
        <v>89</v>
      </c>
      <c r="AG86" s="66" t="s">
        <v>89</v>
      </c>
      <c r="AH86" s="67" t="s">
        <v>89</v>
      </c>
      <c r="AI86" s="67" t="s">
        <v>89</v>
      </c>
      <c r="AJ86" s="67" t="s">
        <v>89</v>
      </c>
      <c r="AK86" s="68" t="s">
        <v>89</v>
      </c>
      <c r="AM86" s="66" t="s">
        <v>89</v>
      </c>
      <c r="AN86" s="67" t="s">
        <v>89</v>
      </c>
      <c r="AO86" s="67" t="s">
        <v>89</v>
      </c>
      <c r="AP86" s="67" t="s">
        <v>89</v>
      </c>
      <c r="AQ86" s="68" t="s">
        <v>89</v>
      </c>
      <c r="AS86" s="66" t="s">
        <v>89</v>
      </c>
      <c r="AT86" s="67" t="s">
        <v>89</v>
      </c>
      <c r="AU86" s="67" t="s">
        <v>89</v>
      </c>
      <c r="AV86" s="67" t="s">
        <v>89</v>
      </c>
      <c r="AW86" s="68" t="s">
        <v>89</v>
      </c>
      <c r="AY86" s="66" t="s">
        <v>89</v>
      </c>
      <c r="AZ86" s="67" t="s">
        <v>89</v>
      </c>
      <c r="BA86" s="67" t="s">
        <v>89</v>
      </c>
      <c r="BB86" s="67"/>
      <c r="BC86" s="68" t="s">
        <v>89</v>
      </c>
      <c r="BE86" s="66" t="s">
        <v>89</v>
      </c>
      <c r="BF86" s="67" t="s">
        <v>89</v>
      </c>
      <c r="BG86" s="67" t="s">
        <v>89</v>
      </c>
      <c r="BH86" s="67" t="s">
        <v>89</v>
      </c>
      <c r="BI86" s="68" t="s">
        <v>89</v>
      </c>
      <c r="BK86" s="66" t="s">
        <v>89</v>
      </c>
      <c r="BL86" s="67" t="s">
        <v>89</v>
      </c>
      <c r="BM86" s="67" t="s">
        <v>89</v>
      </c>
      <c r="BN86" s="67" t="s">
        <v>89</v>
      </c>
      <c r="BO86" s="68" t="s">
        <v>89</v>
      </c>
      <c r="BP86" s="63"/>
      <c r="BQ86" s="66" t="s">
        <v>89</v>
      </c>
      <c r="BR86" s="67" t="s">
        <v>89</v>
      </c>
      <c r="BS86" s="67" t="s">
        <v>89</v>
      </c>
      <c r="BT86" s="67" t="s">
        <v>89</v>
      </c>
      <c r="BU86" s="68" t="s">
        <v>89</v>
      </c>
      <c r="BW86" s="66" t="s">
        <v>89</v>
      </c>
      <c r="BX86" s="67" t="s">
        <v>89</v>
      </c>
      <c r="BY86" s="67" t="s">
        <v>89</v>
      </c>
      <c r="BZ86" s="67" t="s">
        <v>89</v>
      </c>
      <c r="CA86" s="68" t="s">
        <v>89</v>
      </c>
      <c r="CC86" s="66" t="s">
        <v>89</v>
      </c>
      <c r="CD86" s="67" t="s">
        <v>89</v>
      </c>
      <c r="CE86" s="67" t="s">
        <v>89</v>
      </c>
      <c r="CF86" s="67" t="s">
        <v>89</v>
      </c>
      <c r="CG86" s="68" t="s">
        <v>89</v>
      </c>
    </row>
    <row r="87" spans="1:85" ht="5.25" customHeight="1">
      <c r="A87" s="1"/>
      <c r="B87" s="130"/>
      <c r="C87" s="130"/>
      <c r="D87" s="130"/>
      <c r="E87" s="130"/>
      <c r="F87" s="130"/>
      <c r="G87" s="130"/>
      <c r="H87" s="1"/>
      <c r="I87" s="130"/>
      <c r="J87" s="130"/>
      <c r="K87" s="130"/>
      <c r="L87" s="130"/>
      <c r="M87" s="130"/>
      <c r="N87" s="1"/>
      <c r="O87" s="130"/>
      <c r="P87" s="130"/>
      <c r="Q87" s="130"/>
      <c r="R87" s="130"/>
      <c r="S87" s="130"/>
      <c r="T87" s="1"/>
      <c r="U87" s="130"/>
      <c r="V87" s="130"/>
      <c r="W87" s="130"/>
      <c r="X87" s="130"/>
      <c r="Y87" s="130"/>
      <c r="Z87" s="1"/>
      <c r="AA87" s="130"/>
      <c r="AB87" s="130"/>
      <c r="AC87" s="130"/>
      <c r="AD87" s="130"/>
      <c r="AE87" s="130"/>
      <c r="AF87" s="1"/>
      <c r="AG87" s="130"/>
      <c r="AH87" s="130"/>
      <c r="AI87" s="130"/>
      <c r="AJ87" s="130"/>
      <c r="AK87" s="130"/>
      <c r="AL87" s="1"/>
      <c r="AM87" s="130"/>
      <c r="AN87" s="130"/>
      <c r="AO87" s="130"/>
      <c r="AP87" s="130"/>
      <c r="AQ87" s="130"/>
      <c r="AR87" s="1"/>
      <c r="AS87" s="130"/>
      <c r="AT87" s="130"/>
      <c r="AU87" s="130"/>
      <c r="AV87" s="130"/>
      <c r="AW87" s="130"/>
      <c r="AX87" s="1"/>
      <c r="AY87" s="130"/>
      <c r="AZ87" s="130"/>
      <c r="BA87" s="130"/>
      <c r="BB87" s="130"/>
      <c r="BC87" s="130"/>
      <c r="BD87" s="1"/>
      <c r="BE87" s="130"/>
      <c r="BF87" s="130"/>
      <c r="BG87" s="130"/>
      <c r="BH87" s="130"/>
      <c r="BI87" s="130"/>
      <c r="BJ87" s="1"/>
      <c r="BK87" s="130"/>
      <c r="BL87" s="130"/>
      <c r="BM87" s="130"/>
      <c r="BN87" s="130"/>
      <c r="BO87" s="130"/>
      <c r="BP87" s="96"/>
      <c r="BQ87" s="130"/>
      <c r="BR87" s="130"/>
      <c r="BS87" s="130"/>
      <c r="BT87" s="130"/>
      <c r="BU87" s="130"/>
      <c r="BV87" s="1"/>
      <c r="BW87" s="130"/>
      <c r="BX87" s="130"/>
      <c r="BY87" s="130"/>
      <c r="BZ87" s="130"/>
      <c r="CA87" s="130"/>
      <c r="CB87" s="1"/>
      <c r="CC87" s="130"/>
      <c r="CD87" s="130"/>
      <c r="CE87" s="130"/>
      <c r="CF87" s="130"/>
      <c r="CG87" s="130"/>
    </row>
    <row r="88" spans="1:85">
      <c r="A88" s="149" t="s">
        <v>95</v>
      </c>
      <c r="B88" s="95"/>
      <c r="C88" s="264" t="s">
        <v>181</v>
      </c>
      <c r="D88" s="265"/>
      <c r="E88" s="265"/>
      <c r="F88" s="265"/>
      <c r="G88" s="150" t="s">
        <v>97</v>
      </c>
      <c r="H88" s="95"/>
      <c r="I88" s="264" t="s">
        <v>181</v>
      </c>
      <c r="J88" s="265"/>
      <c r="K88" s="265"/>
      <c r="L88" s="265"/>
      <c r="M88" s="150" t="s">
        <v>97</v>
      </c>
      <c r="N88" s="1"/>
      <c r="O88" s="79" t="s">
        <v>96</v>
      </c>
      <c r="P88" s="151"/>
      <c r="Q88" s="151"/>
      <c r="R88" s="151"/>
      <c r="S88" s="150" t="s">
        <v>97</v>
      </c>
      <c r="T88" s="1"/>
      <c r="U88" s="79" t="s">
        <v>96</v>
      </c>
      <c r="V88" s="94"/>
      <c r="W88" s="94"/>
      <c r="X88" s="94"/>
      <c r="Y88" s="150" t="s">
        <v>97</v>
      </c>
      <c r="Z88" s="1"/>
      <c r="AA88" s="79" t="s">
        <v>96</v>
      </c>
      <c r="AB88" s="94"/>
      <c r="AC88" s="94"/>
      <c r="AD88" s="94"/>
      <c r="AE88" s="150" t="s">
        <v>97</v>
      </c>
      <c r="AF88" s="1"/>
      <c r="AG88" s="79" t="s">
        <v>96</v>
      </c>
      <c r="AH88" s="94"/>
      <c r="AI88" s="94"/>
      <c r="AJ88" s="94"/>
      <c r="AK88" s="150" t="s">
        <v>97</v>
      </c>
      <c r="AL88" s="1"/>
      <c r="AM88" s="79" t="s">
        <v>96</v>
      </c>
      <c r="AN88" s="94"/>
      <c r="AO88" s="94"/>
      <c r="AP88" s="94"/>
      <c r="AQ88" s="150" t="s">
        <v>97</v>
      </c>
      <c r="AR88" s="1"/>
      <c r="AS88" s="79" t="s">
        <v>96</v>
      </c>
      <c r="AT88" s="94"/>
      <c r="AU88" s="94"/>
      <c r="AV88" s="94"/>
      <c r="AW88" s="150" t="s">
        <v>97</v>
      </c>
      <c r="AX88" s="1"/>
      <c r="AY88" s="79" t="s">
        <v>96</v>
      </c>
      <c r="AZ88" s="94"/>
      <c r="BA88" s="94"/>
      <c r="BB88" s="94"/>
      <c r="BC88" s="150" t="s">
        <v>97</v>
      </c>
      <c r="BD88" s="1"/>
      <c r="BE88" s="79" t="s">
        <v>96</v>
      </c>
      <c r="BF88" s="94"/>
      <c r="BG88" s="94"/>
      <c r="BH88" s="94"/>
      <c r="BI88" s="152" t="s">
        <v>97</v>
      </c>
      <c r="BJ88" s="1"/>
      <c r="BK88" s="79" t="s">
        <v>96</v>
      </c>
      <c r="BL88" s="94"/>
      <c r="BM88" s="94"/>
      <c r="BN88" s="94"/>
      <c r="BO88" s="152" t="s">
        <v>97</v>
      </c>
      <c r="BP88" s="96"/>
      <c r="BQ88" s="86" t="s">
        <v>96</v>
      </c>
      <c r="BR88" s="94"/>
      <c r="BS88" s="94"/>
      <c r="BT88" s="94"/>
      <c r="BU88" s="152" t="s">
        <v>97</v>
      </c>
      <c r="BV88" s="1"/>
      <c r="BW88" s="86" t="s">
        <v>96</v>
      </c>
      <c r="BX88" s="94"/>
      <c r="BY88" s="94"/>
      <c r="BZ88" s="94"/>
      <c r="CA88" s="152" t="s">
        <v>97</v>
      </c>
      <c r="CB88" s="1"/>
      <c r="CC88" s="86" t="s">
        <v>96</v>
      </c>
      <c r="CD88" s="86"/>
      <c r="CE88" s="86"/>
      <c r="CF88" s="86"/>
      <c r="CG88" s="86" t="s">
        <v>97</v>
      </c>
    </row>
    <row r="89" spans="1:85">
      <c r="A89" s="252" t="s">
        <v>98</v>
      </c>
      <c r="B89" s="153"/>
      <c r="C89" s="154">
        <v>8.1665333333333336</v>
      </c>
      <c r="D89" s="153">
        <v>8.1060507771809895</v>
      </c>
      <c r="E89" s="153">
        <v>7.9140484938351365</v>
      </c>
      <c r="F89" s="153">
        <v>7.8870697139046397</v>
      </c>
      <c r="G89" s="155">
        <v>8.0184255795635249</v>
      </c>
      <c r="H89" s="153"/>
      <c r="I89" s="154">
        <v>7.9558253783574182</v>
      </c>
      <c r="J89" s="153">
        <v>7.9401454137689278</v>
      </c>
      <c r="K89" s="153">
        <v>8.0592052068679809</v>
      </c>
      <c r="L89" s="153">
        <v>8.9353608465498766</v>
      </c>
      <c r="M89" s="155">
        <v>8.2226342113860511</v>
      </c>
      <c r="N89" s="153"/>
      <c r="O89" s="156">
        <v>8.9463333333333335</v>
      </c>
      <c r="P89" s="157">
        <v>8.8413000000000004</v>
      </c>
      <c r="Q89" s="153">
        <v>8.7353000000000005</v>
      </c>
      <c r="R89" s="153">
        <v>8.3948999999999998</v>
      </c>
      <c r="S89" s="155">
        <v>8.7294583333333335</v>
      </c>
      <c r="T89" s="1"/>
      <c r="U89" s="156">
        <v>8.1052</v>
      </c>
      <c r="V89" s="157">
        <v>7.91</v>
      </c>
      <c r="W89" s="157">
        <v>7.96</v>
      </c>
      <c r="X89" s="158">
        <v>8.0500000000000007</v>
      </c>
      <c r="Y89" s="155">
        <v>8.0062999999999995</v>
      </c>
      <c r="Z89" s="1"/>
      <c r="AA89" s="156">
        <v>7.82</v>
      </c>
      <c r="AB89" s="157">
        <v>7.82</v>
      </c>
      <c r="AC89" s="157">
        <v>7.77</v>
      </c>
      <c r="AD89" s="158">
        <v>7.76</v>
      </c>
      <c r="AE89" s="155">
        <v>7.7925000000000004</v>
      </c>
      <c r="AF89" s="1"/>
      <c r="AG89" s="156">
        <v>7.59</v>
      </c>
      <c r="AH89" s="157">
        <v>7.56</v>
      </c>
      <c r="AI89" s="157">
        <v>7.39</v>
      </c>
      <c r="AJ89" s="158">
        <v>7.36</v>
      </c>
      <c r="AK89" s="155">
        <v>7.4749999999999996</v>
      </c>
      <c r="AL89" s="1"/>
      <c r="AM89" s="156">
        <v>7.43</v>
      </c>
      <c r="AN89" s="157">
        <v>7.62</v>
      </c>
      <c r="AO89" s="157">
        <v>7.93</v>
      </c>
      <c r="AP89" s="157">
        <v>8.24</v>
      </c>
      <c r="AQ89" s="155">
        <v>7.8049999999999997</v>
      </c>
      <c r="AR89" s="1"/>
      <c r="AS89" s="156">
        <v>8.35</v>
      </c>
      <c r="AT89" s="157">
        <v>8.2074999999999996</v>
      </c>
      <c r="AU89" s="157">
        <v>8.27</v>
      </c>
      <c r="AV89" s="157">
        <v>8.59</v>
      </c>
      <c r="AW89" s="155">
        <v>8.3543749999999992</v>
      </c>
      <c r="AX89" s="1"/>
      <c r="AY89" s="156">
        <v>8.73</v>
      </c>
      <c r="AZ89" s="157">
        <v>8.5500000000000007</v>
      </c>
      <c r="BA89" s="157">
        <v>9.14</v>
      </c>
      <c r="BB89" s="157">
        <v>9.34</v>
      </c>
      <c r="BC89" s="155">
        <v>8.9400000000000013</v>
      </c>
      <c r="BD89" s="1"/>
      <c r="BE89" s="156">
        <v>9.5299999999999994</v>
      </c>
      <c r="BF89" s="157">
        <v>9.32</v>
      </c>
      <c r="BG89" s="157">
        <v>9.2899999999999991</v>
      </c>
      <c r="BH89" s="158">
        <v>9.0356000000000005</v>
      </c>
      <c r="BI89" s="158">
        <v>9.2939000000000007</v>
      </c>
      <c r="BJ89" s="1"/>
      <c r="BK89" s="156">
        <v>8.98</v>
      </c>
      <c r="BL89" s="157">
        <v>9.3699999999999992</v>
      </c>
      <c r="BM89" s="157">
        <v>9.3488000000000007</v>
      </c>
      <c r="BN89" s="158">
        <v>9.6199999999999992</v>
      </c>
      <c r="BO89" s="158">
        <v>9.3297000000000008</v>
      </c>
      <c r="BP89" s="96"/>
      <c r="BQ89" s="156">
        <v>9.6300000000000008</v>
      </c>
      <c r="BR89" s="157">
        <v>9.5500000000000007</v>
      </c>
      <c r="BS89" s="157">
        <v>9.58</v>
      </c>
      <c r="BT89" s="158">
        <v>9.6300000000000008</v>
      </c>
      <c r="BU89" s="155">
        <v>9.6</v>
      </c>
      <c r="BV89" s="1"/>
      <c r="BW89" s="156">
        <v>9.74</v>
      </c>
      <c r="BX89" s="157">
        <v>9.7200000000000006</v>
      </c>
      <c r="BY89" s="157">
        <v>9.85</v>
      </c>
      <c r="BZ89" s="158">
        <v>10.09</v>
      </c>
      <c r="CA89" s="155">
        <v>9.8500000000000014</v>
      </c>
      <c r="CB89" s="1"/>
      <c r="CC89" s="156">
        <v>10.46</v>
      </c>
      <c r="CD89" s="157">
        <v>11.02</v>
      </c>
      <c r="CE89" s="157">
        <v>10.67</v>
      </c>
      <c r="CF89" s="158">
        <v>10.76</v>
      </c>
      <c r="CG89" s="155">
        <v>10.73</v>
      </c>
    </row>
    <row r="90" spans="1:85">
      <c r="A90" s="241" t="s">
        <v>99</v>
      </c>
      <c r="B90" s="153"/>
      <c r="C90" s="249">
        <v>6.2326666666666668</v>
      </c>
      <c r="D90" s="250">
        <v>6.0111888876415422</v>
      </c>
      <c r="E90" s="250">
        <v>5.7593878847494109</v>
      </c>
      <c r="F90" s="250">
        <v>5.4405668540684857</v>
      </c>
      <c r="G90" s="242">
        <v>5.8609525732815264</v>
      </c>
      <c r="H90" s="153"/>
      <c r="I90" s="249">
        <v>5.3077412660992342</v>
      </c>
      <c r="J90" s="250">
        <v>5.0831492030775411</v>
      </c>
      <c r="K90" s="250">
        <v>5.3690652283216735</v>
      </c>
      <c r="L90" s="250">
        <v>6.796072291133715</v>
      </c>
      <c r="M90" s="242">
        <v>5.6390069971580408</v>
      </c>
      <c r="N90" s="153"/>
      <c r="O90" s="249">
        <v>6.8715000000000002</v>
      </c>
      <c r="P90" s="250">
        <v>6.4992000000000001</v>
      </c>
      <c r="Q90" s="250">
        <v>6.1093000000000002</v>
      </c>
      <c r="R90" s="250">
        <v>5.6792999999999996</v>
      </c>
      <c r="S90" s="242">
        <v>6.2898250000000004</v>
      </c>
      <c r="T90" s="1"/>
      <c r="U90" s="249">
        <v>5.8583999999999996</v>
      </c>
      <c r="V90" s="250">
        <v>6.22</v>
      </c>
      <c r="W90" s="250">
        <v>6.17</v>
      </c>
      <c r="X90" s="251">
        <v>5.93</v>
      </c>
      <c r="Y90" s="242">
        <v>6.0445999999999991</v>
      </c>
      <c r="Z90" s="1"/>
      <c r="AA90" s="249">
        <v>5.73</v>
      </c>
      <c r="AB90" s="250">
        <v>5.44</v>
      </c>
      <c r="AC90" s="250">
        <v>5.5</v>
      </c>
      <c r="AD90" s="251">
        <v>5.76</v>
      </c>
      <c r="AE90" s="242">
        <v>5.6074999999999999</v>
      </c>
      <c r="AF90" s="1"/>
      <c r="AG90" s="249">
        <v>5.79</v>
      </c>
      <c r="AH90" s="250">
        <v>5.89</v>
      </c>
      <c r="AI90" s="250">
        <v>5.91</v>
      </c>
      <c r="AJ90" s="251">
        <v>5.68</v>
      </c>
      <c r="AK90" s="242">
        <v>5.8174999999999999</v>
      </c>
      <c r="AL90" s="1"/>
      <c r="AM90" s="249">
        <v>5.63</v>
      </c>
      <c r="AN90" s="250">
        <v>5.83</v>
      </c>
      <c r="AO90" s="250">
        <v>5.99</v>
      </c>
      <c r="AP90" s="250">
        <v>6.06</v>
      </c>
      <c r="AQ90" s="242">
        <v>5.8775000000000004</v>
      </c>
      <c r="AR90" s="1"/>
      <c r="AS90" s="249">
        <v>6.09</v>
      </c>
      <c r="AT90" s="250">
        <v>5.9854000000000003</v>
      </c>
      <c r="AU90" s="250">
        <v>6.24</v>
      </c>
      <c r="AV90" s="250">
        <v>6.88</v>
      </c>
      <c r="AW90" s="242">
        <v>6.2988499999999998</v>
      </c>
      <c r="AX90" s="1"/>
      <c r="AY90" s="249">
        <v>7.75</v>
      </c>
      <c r="AZ90" s="250">
        <v>7.75</v>
      </c>
      <c r="BA90" s="250">
        <v>8.2200000000000006</v>
      </c>
      <c r="BB90" s="250">
        <v>8.5299999999999994</v>
      </c>
      <c r="BC90" s="242">
        <v>8.0625</v>
      </c>
      <c r="BD90" s="1"/>
      <c r="BE90" s="249">
        <v>8.6486000000000001</v>
      </c>
      <c r="BF90" s="250">
        <v>8.2556999999999992</v>
      </c>
      <c r="BG90" s="250">
        <v>8.3219999999999992</v>
      </c>
      <c r="BH90" s="251">
        <v>8.3793000000000006</v>
      </c>
      <c r="BI90" s="251">
        <v>8.4013999999999989</v>
      </c>
      <c r="BJ90" s="1"/>
      <c r="BK90" s="249">
        <v>8.44</v>
      </c>
      <c r="BL90" s="250">
        <v>8.52</v>
      </c>
      <c r="BM90" s="250">
        <v>7.9634</v>
      </c>
      <c r="BN90" s="251">
        <v>8.16</v>
      </c>
      <c r="BO90" s="251">
        <v>8.2708499999999994</v>
      </c>
      <c r="BP90" s="96"/>
      <c r="BQ90" s="249">
        <v>7.84</v>
      </c>
      <c r="BR90" s="250">
        <v>8.02</v>
      </c>
      <c r="BS90" s="250">
        <v>8.24</v>
      </c>
      <c r="BT90" s="251">
        <v>8.44</v>
      </c>
      <c r="BU90" s="242">
        <v>8.1300000000000008</v>
      </c>
      <c r="BV90" s="1"/>
      <c r="BW90" s="249">
        <v>8.59</v>
      </c>
      <c r="BX90" s="250">
        <v>8.65</v>
      </c>
      <c r="BY90" s="250">
        <v>8.86</v>
      </c>
      <c r="BZ90" s="251">
        <v>9.11</v>
      </c>
      <c r="CA90" s="242">
        <v>8.8025000000000002</v>
      </c>
      <c r="CB90" s="1"/>
      <c r="CC90" s="249">
        <v>9.49</v>
      </c>
      <c r="CD90" s="250">
        <v>10.02</v>
      </c>
      <c r="CE90" s="250">
        <v>9.1300000000000008</v>
      </c>
      <c r="CF90" s="251">
        <v>9.02</v>
      </c>
      <c r="CG90" s="242">
        <v>9.41</v>
      </c>
    </row>
    <row r="91" spans="1:85" ht="5.25" customHeight="1">
      <c r="A91" s="1"/>
      <c r="B91" s="130"/>
      <c r="C91" s="130"/>
      <c r="D91" s="130"/>
      <c r="E91" s="130"/>
      <c r="F91" s="130"/>
      <c r="G91" s="130"/>
      <c r="H91" s="1"/>
      <c r="I91" s="130"/>
      <c r="J91" s="130"/>
      <c r="K91" s="130"/>
      <c r="L91" s="130"/>
      <c r="M91" s="130"/>
      <c r="N91" s="1"/>
      <c r="O91" s="130"/>
      <c r="P91" s="130"/>
      <c r="Q91" s="130"/>
      <c r="R91" s="130"/>
      <c r="S91" s="130"/>
      <c r="T91" s="1"/>
      <c r="U91" s="130"/>
      <c r="V91" s="130"/>
      <c r="W91" s="130"/>
      <c r="X91" s="130"/>
      <c r="Y91" s="130"/>
      <c r="Z91" s="1"/>
      <c r="AA91" s="130"/>
      <c r="AB91" s="130"/>
      <c r="AC91" s="130"/>
      <c r="AD91" s="130"/>
      <c r="AE91" s="130"/>
      <c r="AF91" s="1"/>
      <c r="AG91" s="130"/>
      <c r="AH91" s="130"/>
      <c r="AI91" s="130"/>
      <c r="AJ91" s="130"/>
      <c r="AK91" s="130"/>
      <c r="AL91" s="1"/>
      <c r="AM91" s="130"/>
      <c r="AN91" s="130"/>
      <c r="AO91" s="130"/>
      <c r="AP91" s="130"/>
      <c r="AQ91" s="130"/>
      <c r="AR91" s="1"/>
      <c r="AS91" s="130"/>
      <c r="AT91" s="130"/>
      <c r="AU91" s="130"/>
      <c r="AV91" s="130"/>
      <c r="AW91" s="130"/>
      <c r="AX91" s="1"/>
      <c r="AY91" s="130"/>
      <c r="AZ91" s="130"/>
      <c r="BA91" s="130"/>
      <c r="BB91" s="130"/>
      <c r="BC91" s="130"/>
      <c r="BD91" s="1"/>
      <c r="BE91" s="130"/>
      <c r="BF91" s="130"/>
      <c r="BG91" s="130"/>
      <c r="BH91" s="130"/>
      <c r="BI91" s="130"/>
      <c r="BJ91" s="1"/>
      <c r="BK91" s="130"/>
      <c r="BL91" s="130"/>
      <c r="BM91" s="130"/>
      <c r="BN91" s="130"/>
      <c r="BO91" s="130"/>
      <c r="BP91" s="96"/>
      <c r="BQ91" s="130"/>
      <c r="BR91" s="130"/>
      <c r="BS91" s="130"/>
      <c r="BT91" s="130"/>
      <c r="BU91" s="130"/>
      <c r="BV91" s="1"/>
      <c r="BW91" s="130"/>
      <c r="BX91" s="130"/>
      <c r="BY91" s="130"/>
      <c r="BZ91" s="130"/>
      <c r="CA91" s="130"/>
      <c r="CB91" s="1"/>
      <c r="CC91" s="130"/>
      <c r="CD91" s="130"/>
      <c r="CE91" s="130"/>
      <c r="CF91" s="130"/>
      <c r="CG91" s="130"/>
    </row>
    <row r="92" spans="1:85" ht="11.25" customHeight="1">
      <c r="A92" s="1" t="s">
        <v>87</v>
      </c>
      <c r="B92" s="130"/>
      <c r="C92" s="130"/>
      <c r="D92" s="130"/>
      <c r="E92" s="130"/>
      <c r="F92" s="130"/>
      <c r="G92" s="130"/>
      <c r="H92" s="1"/>
      <c r="I92" s="130"/>
      <c r="J92" s="130"/>
      <c r="K92" s="130"/>
      <c r="L92" s="130"/>
      <c r="M92" s="130"/>
      <c r="N92" s="1"/>
      <c r="O92" s="130"/>
      <c r="P92" s="130"/>
      <c r="Q92" s="130"/>
      <c r="R92" s="130"/>
      <c r="S92" s="130"/>
      <c r="T92" s="1"/>
      <c r="U92" s="130"/>
      <c r="V92" s="130"/>
      <c r="W92" s="130"/>
      <c r="X92" s="130"/>
      <c r="Y92" s="130"/>
      <c r="Z92" s="1"/>
      <c r="AA92" s="130"/>
      <c r="AB92" s="130"/>
      <c r="AC92" s="130"/>
      <c r="AD92" s="130"/>
      <c r="AE92" s="130"/>
      <c r="AF92" s="1"/>
      <c r="AG92" s="130"/>
      <c r="AH92" s="130"/>
      <c r="AI92" s="130"/>
      <c r="AJ92" s="130"/>
      <c r="AK92" s="130"/>
      <c r="AL92" s="1"/>
      <c r="AM92" s="130"/>
      <c r="AN92" s="130"/>
      <c r="AO92" s="130"/>
      <c r="AP92" s="130"/>
      <c r="AQ92" s="130"/>
      <c r="AR92" s="1"/>
      <c r="AS92" s="130"/>
      <c r="AT92" s="130"/>
      <c r="AU92" s="130"/>
      <c r="AV92" s="130"/>
      <c r="AW92" s="130"/>
      <c r="AX92" s="1"/>
      <c r="AY92" s="130"/>
      <c r="AZ92" s="130"/>
      <c r="BA92" s="130"/>
      <c r="BB92" s="130"/>
      <c r="BC92" s="130"/>
      <c r="BD92" s="1"/>
      <c r="BE92" s="130"/>
      <c r="BF92" s="130"/>
      <c r="BG92" s="130"/>
      <c r="BH92" s="130"/>
      <c r="BI92" s="130"/>
      <c r="BJ92" s="1"/>
      <c r="BK92" s="130"/>
      <c r="BL92" s="130"/>
      <c r="BM92" s="130"/>
      <c r="BN92" s="130"/>
      <c r="BO92" s="130"/>
      <c r="BP92" s="96"/>
      <c r="BQ92" s="130"/>
      <c r="BR92" s="130"/>
      <c r="BS92" s="130"/>
      <c r="BT92" s="130"/>
      <c r="BU92" s="130"/>
      <c r="BV92" s="1"/>
      <c r="BW92" s="130"/>
      <c r="BX92" s="130"/>
      <c r="BY92" s="130"/>
      <c r="BZ92" s="130"/>
      <c r="CA92" s="130"/>
      <c r="CB92" s="1"/>
      <c r="CC92" s="130"/>
      <c r="CD92" s="130"/>
      <c r="CE92" s="130"/>
      <c r="CF92" s="130"/>
      <c r="CG92" s="130"/>
    </row>
    <row r="93" spans="1:85">
      <c r="A93" s="1" t="s">
        <v>100</v>
      </c>
      <c r="B93" s="95"/>
      <c r="C93" s="1">
        <v>99</v>
      </c>
      <c r="D93" s="1">
        <v>78</v>
      </c>
      <c r="E93" s="1">
        <v>134</v>
      </c>
      <c r="F93" s="1">
        <v>152</v>
      </c>
      <c r="G93" s="1"/>
      <c r="H93" s="1"/>
      <c r="I93" s="1">
        <v>149</v>
      </c>
      <c r="J93" s="1">
        <v>148</v>
      </c>
      <c r="K93" s="1">
        <v>124</v>
      </c>
      <c r="L93" s="1">
        <v>95</v>
      </c>
      <c r="M93" s="1"/>
      <c r="N93" s="1"/>
      <c r="O93" s="1">
        <v>88</v>
      </c>
      <c r="P93" s="1">
        <v>114</v>
      </c>
      <c r="Q93" s="1">
        <v>125</v>
      </c>
      <c r="R93" s="1">
        <v>121</v>
      </c>
      <c r="S93" s="1"/>
      <c r="T93" s="1"/>
      <c r="U93" s="1">
        <v>142</v>
      </c>
      <c r="V93" s="1">
        <v>197</v>
      </c>
      <c r="W93" s="1">
        <v>170</v>
      </c>
      <c r="X93" s="1">
        <v>181</v>
      </c>
      <c r="Y93" s="1"/>
      <c r="Z93" s="1"/>
      <c r="AA93" s="1">
        <v>270</v>
      </c>
      <c r="AB93" s="1">
        <v>279</v>
      </c>
      <c r="AC93" s="1">
        <v>237</v>
      </c>
      <c r="AD93" s="1">
        <v>274</v>
      </c>
      <c r="AE93" s="1"/>
      <c r="AF93" s="1"/>
      <c r="AG93" s="1">
        <v>325</v>
      </c>
      <c r="AH93" s="1">
        <v>498</v>
      </c>
      <c r="AI93" s="1">
        <v>551</v>
      </c>
      <c r="AJ93" s="1">
        <v>525</v>
      </c>
      <c r="AK93" s="1"/>
      <c r="AL93" s="1"/>
      <c r="AM93" s="1">
        <v>560</v>
      </c>
      <c r="AN93" s="1">
        <v>501</v>
      </c>
      <c r="AO93" s="1">
        <v>434</v>
      </c>
      <c r="AP93" s="1">
        <v>475</v>
      </c>
      <c r="AQ93" s="1"/>
      <c r="AR93" s="1"/>
      <c r="AS93" s="1">
        <v>574</v>
      </c>
      <c r="AT93" s="1">
        <v>615</v>
      </c>
      <c r="AU93" s="1">
        <v>672</v>
      </c>
      <c r="AV93" s="1">
        <v>657</v>
      </c>
      <c r="AW93" s="1"/>
      <c r="AX93" s="1"/>
      <c r="AY93" s="1">
        <v>822</v>
      </c>
      <c r="AZ93" s="1">
        <v>851</v>
      </c>
      <c r="BA93" s="1">
        <v>785</v>
      </c>
      <c r="BB93" s="1">
        <v>659</v>
      </c>
      <c r="BC93" s="1"/>
      <c r="BD93" s="1"/>
      <c r="BE93" s="1">
        <v>829</v>
      </c>
      <c r="BF93" s="1">
        <v>816</v>
      </c>
      <c r="BG93" s="1">
        <v>793</v>
      </c>
      <c r="BH93" s="1">
        <v>704</v>
      </c>
      <c r="BI93" s="1"/>
      <c r="BJ93" s="1"/>
      <c r="BK93" s="1">
        <v>1139</v>
      </c>
      <c r="BL93" s="1">
        <v>1093</v>
      </c>
      <c r="BM93" s="1">
        <v>1226</v>
      </c>
      <c r="BN93" s="1">
        <v>1147</v>
      </c>
      <c r="BO93" s="1"/>
      <c r="BP93" s="96"/>
      <c r="BQ93" s="1">
        <v>1515</v>
      </c>
      <c r="BR93" s="1">
        <v>1585</v>
      </c>
      <c r="BS93" s="1">
        <v>1579</v>
      </c>
      <c r="BT93" s="1">
        <v>1399</v>
      </c>
      <c r="BU93" s="1"/>
      <c r="BV93" s="1"/>
      <c r="BW93" s="1">
        <v>1464</v>
      </c>
      <c r="BX93" s="1">
        <v>1345</v>
      </c>
      <c r="BY93" s="1">
        <v>1430</v>
      </c>
      <c r="BZ93" s="1">
        <v>1458</v>
      </c>
      <c r="CA93" s="1"/>
      <c r="CB93" s="1"/>
      <c r="CC93" s="1">
        <v>1915</v>
      </c>
      <c r="CD93" s="1">
        <v>1746</v>
      </c>
      <c r="CE93" s="1">
        <v>1557</v>
      </c>
      <c r="CF93" s="1">
        <v>1470</v>
      </c>
      <c r="CG93" s="1"/>
    </row>
    <row r="94" spans="1:85">
      <c r="A94" s="1" t="s">
        <v>101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>
        <v>50</v>
      </c>
      <c r="P94" s="1">
        <v>102</v>
      </c>
      <c r="Q94" s="1">
        <v>99</v>
      </c>
      <c r="R94" s="1">
        <v>130</v>
      </c>
      <c r="S94" s="1"/>
      <c r="T94" s="1"/>
      <c r="U94" s="1">
        <v>103</v>
      </c>
      <c r="V94" s="1">
        <v>194</v>
      </c>
      <c r="W94" s="1">
        <v>131</v>
      </c>
      <c r="X94" s="1">
        <v>150</v>
      </c>
      <c r="Y94" s="1"/>
      <c r="Z94" s="1"/>
      <c r="AA94" s="1">
        <v>261</v>
      </c>
      <c r="AB94" s="1">
        <v>272</v>
      </c>
      <c r="AC94" s="1">
        <v>216</v>
      </c>
      <c r="AD94" s="1">
        <v>270</v>
      </c>
      <c r="AE94" s="1"/>
      <c r="AF94" s="1"/>
      <c r="AG94" s="137">
        <v>276</v>
      </c>
      <c r="AH94" s="137">
        <v>449</v>
      </c>
      <c r="AI94" s="137">
        <v>487</v>
      </c>
      <c r="AJ94" s="137">
        <v>463</v>
      </c>
      <c r="AK94" s="1"/>
      <c r="AL94" s="1"/>
      <c r="AM94" s="137">
        <v>403</v>
      </c>
      <c r="AN94" s="137">
        <v>419</v>
      </c>
      <c r="AO94" s="137">
        <v>403</v>
      </c>
      <c r="AP94" s="137">
        <v>509</v>
      </c>
      <c r="AQ94" s="1"/>
      <c r="AR94" s="1"/>
      <c r="AS94" s="137">
        <v>488</v>
      </c>
      <c r="AT94" s="137">
        <v>502</v>
      </c>
      <c r="AU94" s="137">
        <v>550</v>
      </c>
      <c r="AV94" s="137">
        <v>568</v>
      </c>
      <c r="AW94" s="1"/>
      <c r="AX94" s="1"/>
      <c r="AY94" s="137">
        <v>573</v>
      </c>
      <c r="AZ94" s="137">
        <v>646</v>
      </c>
      <c r="BA94" s="137">
        <v>572</v>
      </c>
      <c r="BB94" s="137">
        <v>551</v>
      </c>
      <c r="BC94" s="1"/>
      <c r="BD94" s="1"/>
      <c r="BE94" s="137">
        <v>661</v>
      </c>
      <c r="BF94" s="137">
        <v>667</v>
      </c>
      <c r="BG94" s="137">
        <v>613</v>
      </c>
      <c r="BH94" s="137">
        <v>649</v>
      </c>
      <c r="BI94" s="1"/>
      <c r="BJ94" s="1"/>
      <c r="BK94" s="137">
        <v>826</v>
      </c>
      <c r="BL94" s="137">
        <v>951</v>
      </c>
      <c r="BM94" s="137">
        <v>964</v>
      </c>
      <c r="BN94" s="137">
        <v>967</v>
      </c>
      <c r="BO94" s="137"/>
      <c r="BP94" s="96"/>
      <c r="BQ94" s="1">
        <v>1188</v>
      </c>
      <c r="BR94" s="1">
        <v>1144</v>
      </c>
      <c r="BS94" s="1">
        <v>1105</v>
      </c>
      <c r="BT94" s="1">
        <v>1146</v>
      </c>
      <c r="BU94" s="1"/>
      <c r="BV94" s="1"/>
      <c r="BW94" s="1">
        <v>1104</v>
      </c>
      <c r="BX94" s="1">
        <v>1111</v>
      </c>
      <c r="BY94" s="1">
        <v>1224</v>
      </c>
      <c r="BZ94" s="1">
        <v>1332</v>
      </c>
      <c r="CA94" s="1"/>
      <c r="CB94" s="2"/>
      <c r="CC94" s="1">
        <v>1591</v>
      </c>
      <c r="CD94" s="1">
        <v>1095</v>
      </c>
      <c r="CE94" s="1">
        <v>1102</v>
      </c>
      <c r="CF94" s="1">
        <v>1229</v>
      </c>
      <c r="CG94" s="1"/>
    </row>
    <row r="95" spans="1:85">
      <c r="A95" s="1" t="s">
        <v>14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>
        <v>57</v>
      </c>
      <c r="P95" s="1">
        <v>76</v>
      </c>
      <c r="Q95" s="1">
        <v>88</v>
      </c>
      <c r="R95" s="1">
        <v>134</v>
      </c>
      <c r="S95" s="1"/>
      <c r="T95" s="1"/>
      <c r="U95" s="1">
        <v>82</v>
      </c>
      <c r="V95" s="1">
        <v>139</v>
      </c>
      <c r="W95" s="1">
        <v>158</v>
      </c>
      <c r="X95" s="1">
        <v>139</v>
      </c>
      <c r="Y95" s="1"/>
      <c r="Z95" s="1"/>
      <c r="AA95" s="1">
        <v>172</v>
      </c>
      <c r="AB95" s="1">
        <v>263</v>
      </c>
      <c r="AC95" s="1">
        <v>258</v>
      </c>
      <c r="AD95" s="1">
        <v>233</v>
      </c>
      <c r="AE95" s="1"/>
      <c r="AF95" s="1"/>
      <c r="AG95" s="137">
        <v>225</v>
      </c>
      <c r="AH95" s="137">
        <v>276</v>
      </c>
      <c r="AI95" s="137">
        <v>434</v>
      </c>
      <c r="AJ95" s="137">
        <v>489</v>
      </c>
      <c r="AK95" s="1"/>
      <c r="AL95" s="1"/>
      <c r="AM95" s="137">
        <v>368</v>
      </c>
      <c r="AN95" s="137">
        <v>478</v>
      </c>
      <c r="AO95" s="137">
        <v>470</v>
      </c>
      <c r="AP95" s="137">
        <v>468</v>
      </c>
      <c r="AQ95" s="1"/>
      <c r="AR95" s="1"/>
      <c r="AS95" s="137">
        <v>389</v>
      </c>
      <c r="AT95" s="137">
        <v>460.8</v>
      </c>
      <c r="AU95" s="137">
        <v>493</v>
      </c>
      <c r="AV95" s="137">
        <v>583</v>
      </c>
      <c r="AW95" s="1"/>
      <c r="AX95" s="1"/>
      <c r="AY95" s="137">
        <v>408</v>
      </c>
      <c r="AZ95" s="137">
        <v>617</v>
      </c>
      <c r="BA95" s="137">
        <v>638</v>
      </c>
      <c r="BB95" s="137">
        <v>677</v>
      </c>
      <c r="BC95" s="1"/>
      <c r="BD95" s="1"/>
      <c r="BE95" s="137">
        <v>491</v>
      </c>
      <c r="BF95" s="137">
        <v>680</v>
      </c>
      <c r="BG95" s="137">
        <v>636</v>
      </c>
      <c r="BH95" s="1">
        <v>738</v>
      </c>
      <c r="BI95" s="1"/>
      <c r="BJ95" s="1"/>
      <c r="BK95" s="1">
        <v>687</v>
      </c>
      <c r="BL95" s="1">
        <v>997</v>
      </c>
      <c r="BM95" s="1">
        <v>831</v>
      </c>
      <c r="BN95" s="1">
        <v>1046</v>
      </c>
      <c r="BO95" s="1"/>
      <c r="BP95" s="1"/>
      <c r="BQ95" s="1">
        <v>820</v>
      </c>
      <c r="BR95" s="1">
        <v>1073</v>
      </c>
      <c r="BS95" s="1">
        <v>1112</v>
      </c>
      <c r="BT95" s="1">
        <v>1326</v>
      </c>
      <c r="BU95" s="1"/>
      <c r="BV95" s="1"/>
      <c r="BW95" s="1">
        <v>1039</v>
      </c>
      <c r="BX95" s="1">
        <v>1230</v>
      </c>
      <c r="BY95" s="1">
        <v>1140</v>
      </c>
      <c r="BZ95" s="1">
        <v>1304</v>
      </c>
      <c r="CA95" s="1"/>
      <c r="CB95" s="15"/>
      <c r="CC95" s="1">
        <v>1134</v>
      </c>
      <c r="CD95" s="1">
        <v>1264</v>
      </c>
      <c r="CE95" s="1">
        <v>1291</v>
      </c>
      <c r="CF95" s="1">
        <v>1316</v>
      </c>
      <c r="CG95" s="1"/>
    </row>
    <row r="96" spans="1:85" ht="5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37"/>
      <c r="AH96" s="137"/>
      <c r="AI96" s="137"/>
      <c r="AJ96" s="137"/>
      <c r="AK96" s="1"/>
      <c r="AL96" s="1"/>
      <c r="AM96" s="137"/>
      <c r="AN96" s="137"/>
      <c r="AO96" s="137"/>
      <c r="AP96" s="137"/>
      <c r="AQ96" s="1"/>
      <c r="AR96" s="1"/>
      <c r="AS96" s="137"/>
      <c r="AT96" s="137"/>
      <c r="AU96" s="137"/>
      <c r="AV96" s="137"/>
      <c r="AW96" s="1"/>
      <c r="AX96" s="1"/>
      <c r="AY96" s="137"/>
      <c r="AZ96" s="137"/>
      <c r="BA96" s="137"/>
      <c r="BB96" s="137"/>
      <c r="BC96" s="1"/>
      <c r="BD96" s="1"/>
      <c r="BE96" s="137"/>
      <c r="BF96" s="137"/>
      <c r="BG96" s="137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2"/>
      <c r="CC96" s="1"/>
      <c r="CD96" s="1"/>
      <c r="CE96" s="1"/>
      <c r="CF96" s="1"/>
      <c r="CG96" s="1"/>
    </row>
    <row r="97" spans="1:85">
      <c r="A97" s="1" t="s">
        <v>182</v>
      </c>
      <c r="B97" s="95"/>
      <c r="C97" s="91"/>
      <c r="D97" s="91">
        <v>0.97979797979797978</v>
      </c>
      <c r="E97" s="91">
        <v>0.94871794871794868</v>
      </c>
      <c r="F97" s="91">
        <v>0.85074626865671643</v>
      </c>
      <c r="G97" s="1"/>
      <c r="H97" s="1"/>
      <c r="I97" s="91">
        <v>0.75</v>
      </c>
      <c r="J97" s="91">
        <v>0.82550335570469802</v>
      </c>
      <c r="K97" s="91">
        <v>0.78378378378378377</v>
      </c>
      <c r="L97" s="91">
        <v>1.1370967741935485</v>
      </c>
      <c r="M97" s="1"/>
      <c r="N97" s="1"/>
      <c r="O97" s="91">
        <v>0.6</v>
      </c>
      <c r="P97" s="91">
        <v>0.86363636363636365</v>
      </c>
      <c r="Q97" s="91">
        <v>0.77192982456140347</v>
      </c>
      <c r="R97" s="91">
        <v>1.0720000000000001</v>
      </c>
      <c r="S97" s="1"/>
      <c r="T97" s="1"/>
      <c r="U97" s="91">
        <v>0.6776859504132231</v>
      </c>
      <c r="V97" s="91">
        <v>0.97887323943661975</v>
      </c>
      <c r="W97" s="91">
        <v>0.80203045685279184</v>
      </c>
      <c r="X97" s="91">
        <v>0.81764705882352939</v>
      </c>
      <c r="Y97" s="1"/>
      <c r="Z97" s="1"/>
      <c r="AA97" s="91">
        <v>0.95027624309392267</v>
      </c>
      <c r="AB97" s="91">
        <v>0.97407407407407409</v>
      </c>
      <c r="AC97" s="91">
        <v>0.92473118279569888</v>
      </c>
      <c r="AD97" s="91">
        <v>0.9831223628691983</v>
      </c>
      <c r="AE97" s="1"/>
      <c r="AF97" s="1"/>
      <c r="AG97" s="91">
        <v>0.82116788321167888</v>
      </c>
      <c r="AH97" s="91">
        <v>0.84923076923076923</v>
      </c>
      <c r="AI97" s="91">
        <v>0.87148594377510036</v>
      </c>
      <c r="AJ97" s="91">
        <v>0.88747731397459162</v>
      </c>
      <c r="AK97" s="1"/>
      <c r="AL97" s="1"/>
      <c r="AM97" s="91">
        <v>0.70095238095238099</v>
      </c>
      <c r="AN97" s="91">
        <v>0.85357142857142854</v>
      </c>
      <c r="AO97" s="91">
        <v>0.93812375249501001</v>
      </c>
      <c r="AP97" s="91">
        <v>1.0783410138248848</v>
      </c>
      <c r="AQ97" s="1"/>
      <c r="AR97" s="1"/>
      <c r="AS97" s="91">
        <v>0.81894736842105265</v>
      </c>
      <c r="AT97" s="91">
        <v>0.80313588850174211</v>
      </c>
      <c r="AU97" s="91">
        <v>0.80162601626016261</v>
      </c>
      <c r="AV97" s="91">
        <v>0.86755952380952384</v>
      </c>
      <c r="AW97" s="1"/>
      <c r="AX97" s="1"/>
      <c r="AY97" s="91">
        <v>0.62100456621004563</v>
      </c>
      <c r="AZ97" s="91">
        <v>0.75060827250608275</v>
      </c>
      <c r="BA97" s="91">
        <v>0.74970622796709752</v>
      </c>
      <c r="BB97" s="91">
        <v>0.86242038216560513</v>
      </c>
      <c r="BC97" s="1"/>
      <c r="BD97" s="1"/>
      <c r="BE97" s="91">
        <v>0.74506828528072833</v>
      </c>
      <c r="BF97" s="91">
        <v>0.82026537997587456</v>
      </c>
      <c r="BG97" s="91">
        <v>0.77941176470588236</v>
      </c>
      <c r="BH97" s="91">
        <v>0.93064312736443888</v>
      </c>
      <c r="BI97" s="1"/>
      <c r="BJ97" s="1"/>
      <c r="BK97" s="91">
        <v>0.97585227272727271</v>
      </c>
      <c r="BL97" s="91">
        <v>0.8753292361720808</v>
      </c>
      <c r="BM97" s="91">
        <v>0.76029277218664226</v>
      </c>
      <c r="BN97" s="91">
        <v>0.85318107667210441</v>
      </c>
      <c r="BO97" s="91"/>
      <c r="BP97" s="96"/>
      <c r="BQ97" s="91">
        <v>0.71490845684394067</v>
      </c>
      <c r="BR97" s="91">
        <v>0.70825082508250825</v>
      </c>
      <c r="BS97" s="91">
        <v>0.701577287066246</v>
      </c>
      <c r="BT97" s="91">
        <v>0.83977200759974668</v>
      </c>
      <c r="BU97" s="91"/>
      <c r="BV97" s="1"/>
      <c r="BW97" s="91">
        <v>0.74267333809864189</v>
      </c>
      <c r="BX97" s="91">
        <v>0.8401639344262295</v>
      </c>
      <c r="BY97" s="91">
        <v>0.84758364312267653</v>
      </c>
      <c r="BZ97" s="91">
        <v>0.91188811188811192</v>
      </c>
      <c r="CA97" s="91"/>
      <c r="CB97" s="1"/>
      <c r="CC97" s="91">
        <v>0.77777777777777779</v>
      </c>
      <c r="CD97" s="91">
        <v>0.66005221932114877</v>
      </c>
      <c r="CE97" s="91">
        <v>0.7394043528064147</v>
      </c>
      <c r="CF97" s="91">
        <v>0.84521515735388564</v>
      </c>
      <c r="CG97" s="91"/>
    </row>
    <row r="98" spans="1:85">
      <c r="A98" s="1"/>
      <c r="B98" s="9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0"/>
      <c r="BN98" s="80"/>
      <c r="BO98" s="80"/>
      <c r="BP98" s="96"/>
      <c r="BQ98" s="80"/>
      <c r="BR98" s="80"/>
      <c r="BS98" s="80"/>
      <c r="BT98" s="80"/>
      <c r="BU98" s="80"/>
      <c r="BV98" s="1"/>
      <c r="BW98" s="80"/>
      <c r="BX98" s="80"/>
      <c r="BY98" s="80"/>
      <c r="BZ98" s="80"/>
      <c r="CA98" s="80"/>
      <c r="CB98" s="1"/>
      <c r="CC98" s="1"/>
      <c r="CD98" s="1"/>
      <c r="CE98" s="1"/>
      <c r="CF98" s="1"/>
      <c r="CG98" s="1"/>
    </row>
    <row r="99" spans="1:85">
      <c r="A99" s="1"/>
      <c r="B99" s="9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0"/>
      <c r="BN99" s="80"/>
      <c r="BO99" s="80"/>
      <c r="BP99" s="96"/>
      <c r="BQ99" s="80"/>
      <c r="BR99" s="80"/>
      <c r="BS99" s="80"/>
      <c r="BT99" s="80"/>
      <c r="BU99" s="80"/>
      <c r="BV99" s="1"/>
      <c r="BW99" s="80"/>
      <c r="BX99" s="80"/>
      <c r="BY99" s="80"/>
      <c r="BZ99" s="80"/>
      <c r="CA99" s="80"/>
      <c r="CB99" s="1"/>
      <c r="CC99" s="1"/>
      <c r="CD99" s="1"/>
      <c r="CE99" s="1"/>
      <c r="CF99" s="1"/>
      <c r="CG99" s="1"/>
    </row>
    <row r="100" spans="1:85">
      <c r="A100" s="1"/>
      <c r="B100" s="9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0"/>
      <c r="BN100" s="80"/>
      <c r="BO100" s="80"/>
      <c r="BP100" s="96"/>
      <c r="BQ100" s="80"/>
      <c r="BR100" s="80"/>
      <c r="BS100" s="80"/>
      <c r="BT100" s="80"/>
      <c r="BU100" s="80"/>
      <c r="BV100" s="1"/>
      <c r="BW100" s="80"/>
      <c r="BX100" s="80"/>
      <c r="BY100" s="80"/>
      <c r="BZ100" s="80"/>
      <c r="CA100" s="80"/>
      <c r="CB100" s="1"/>
      <c r="CC100" s="1"/>
      <c r="CD100" s="1"/>
      <c r="CE100" s="1"/>
      <c r="CF100" s="1"/>
      <c r="CG100" s="1"/>
    </row>
    <row r="101" spans="1:85">
      <c r="A101" s="1"/>
      <c r="B101" s="9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0"/>
      <c r="BN101" s="80"/>
      <c r="BO101" s="80"/>
      <c r="BP101" s="96"/>
      <c r="BQ101" s="80"/>
      <c r="BR101" s="80"/>
      <c r="BS101" s="80"/>
      <c r="BT101" s="80"/>
      <c r="BU101" s="80"/>
      <c r="BV101" s="1"/>
      <c r="BW101" s="80"/>
      <c r="BX101" s="80"/>
      <c r="BY101" s="80"/>
      <c r="BZ101" s="80"/>
      <c r="CA101" s="80"/>
      <c r="CB101" s="1"/>
      <c r="CC101" s="1"/>
      <c r="CD101" s="1"/>
      <c r="CE101" s="1"/>
      <c r="CF101" s="1"/>
      <c r="CG101" s="1"/>
    </row>
    <row r="102" spans="1:85">
      <c r="A102" s="1"/>
      <c r="B102" s="9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0"/>
      <c r="BN102" s="80"/>
      <c r="BO102" s="80"/>
      <c r="BP102" s="96"/>
      <c r="BQ102" s="80"/>
      <c r="BR102" s="80"/>
      <c r="BS102" s="80"/>
      <c r="BT102" s="80"/>
      <c r="BU102" s="80"/>
      <c r="BV102" s="1"/>
      <c r="BW102" s="80"/>
      <c r="BX102" s="80"/>
      <c r="BY102" s="80"/>
      <c r="BZ102" s="80"/>
      <c r="CA102" s="80"/>
      <c r="CB102" s="1"/>
      <c r="CC102" s="1"/>
      <c r="CD102" s="1"/>
      <c r="CE102" s="1"/>
      <c r="CF102" s="1"/>
      <c r="CG102" s="1"/>
    </row>
    <row r="103" spans="1:85">
      <c r="A103" s="1"/>
      <c r="B103" s="9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0"/>
      <c r="BN103" s="80"/>
      <c r="BO103" s="80"/>
      <c r="BP103" s="96"/>
      <c r="BQ103" s="80"/>
      <c r="BR103" s="80"/>
      <c r="BS103" s="80"/>
      <c r="BT103" s="80"/>
      <c r="BU103" s="80"/>
      <c r="BV103" s="1"/>
      <c r="BW103" s="80"/>
      <c r="BX103" s="80"/>
      <c r="BY103" s="80"/>
      <c r="BZ103" s="80"/>
      <c r="CA103" s="80"/>
      <c r="CB103" s="1"/>
      <c r="CC103" s="1"/>
      <c r="CD103" s="1"/>
      <c r="CE103" s="1"/>
      <c r="CF103" s="1"/>
      <c r="CG103" s="1"/>
    </row>
    <row r="104" spans="1:85">
      <c r="A104" s="1"/>
      <c r="B104" s="95"/>
      <c r="C104" s="1"/>
      <c r="D104" s="1"/>
      <c r="E104" s="1"/>
      <c r="F104" s="1" t="s">
        <v>128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96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</row>
  </sheetData>
  <mergeCells count="8">
    <mergeCell ref="C88:F88"/>
    <mergeCell ref="I88:L88"/>
    <mergeCell ref="C1:G1"/>
    <mergeCell ref="I1:M1"/>
    <mergeCell ref="O1:S1"/>
    <mergeCell ref="C45:G45"/>
    <mergeCell ref="I45:M45"/>
    <mergeCell ref="O45:S45"/>
  </mergeCells>
  <pageMargins left="0.15748031496062992" right="0.15748031496062992" top="0.39370078740157483" bottom="0.31496062992125984" header="0.51181102362204722" footer="0.15748031496062992"/>
  <pageSetup paperSize="8" scale="84" orientation="landscape" r:id="rId1"/>
  <headerFooter alignWithMargins="0">
    <oddFooter>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1CC0-8D6F-44DD-95DB-6120221C1278}">
  <sheetPr>
    <tabColor theme="3" tint="0.59999389629810485"/>
    <pageSetUpPr fitToPage="1"/>
  </sheetPr>
  <dimension ref="A1:AP1328"/>
  <sheetViews>
    <sheetView showGridLines="0" zoomScaleNormal="100" workbookViewId="0">
      <pane ySplit="1" topLeftCell="A23" activePane="bottomLeft" state="frozen"/>
      <selection pane="bottomLeft" activeCell="A2" sqref="A2"/>
      <selection activeCell="AZ56" sqref="AZ56"/>
    </sheetView>
  </sheetViews>
  <sheetFormatPr defaultColWidth="9.140625" defaultRowHeight="15"/>
  <cols>
    <col min="1" max="1" width="9.140625" style="7"/>
    <col min="2" max="2" width="14.5703125" style="6" customWidth="1"/>
    <col min="3" max="3" width="11.5703125" style="6" customWidth="1"/>
    <col min="4" max="4" width="15.5703125" style="6" customWidth="1"/>
    <col min="5" max="7" width="19.42578125" style="5" customWidth="1"/>
    <col min="8" max="11" width="21.140625" style="5" customWidth="1"/>
    <col min="12" max="14" width="15" style="6" customWidth="1"/>
    <col min="15" max="16384" width="9.140625" style="6"/>
  </cols>
  <sheetData>
    <row r="1" spans="1:35" ht="15.75" thickBot="1">
      <c r="A1" s="3" t="s">
        <v>128</v>
      </c>
      <c r="B1" s="3" t="s">
        <v>183</v>
      </c>
      <c r="C1" s="11" t="s">
        <v>184</v>
      </c>
      <c r="D1" s="11" t="s">
        <v>185</v>
      </c>
      <c r="E1" s="11" t="s">
        <v>186</v>
      </c>
      <c r="F1" s="12" t="s">
        <v>14</v>
      </c>
      <c r="G1" s="12" t="s">
        <v>187</v>
      </c>
      <c r="H1" s="4" t="s">
        <v>188</v>
      </c>
      <c r="I1" s="187" t="s">
        <v>189</v>
      </c>
      <c r="J1" s="160" t="s">
        <v>188</v>
      </c>
      <c r="K1" s="160" t="s">
        <v>188</v>
      </c>
      <c r="L1" s="5" t="s">
        <v>190</v>
      </c>
      <c r="M1" s="5" t="s">
        <v>191</v>
      </c>
      <c r="N1" s="5"/>
      <c r="O1" s="3" t="s">
        <v>183</v>
      </c>
      <c r="P1" s="11" t="s">
        <v>185</v>
      </c>
      <c r="Q1" s="12" t="s">
        <v>14</v>
      </c>
    </row>
    <row r="2" spans="1:35">
      <c r="A2" s="8"/>
      <c r="B2" s="188">
        <v>88</v>
      </c>
      <c r="C2" s="187"/>
      <c r="D2" s="187">
        <v>50</v>
      </c>
      <c r="E2" s="187"/>
      <c r="F2" s="13">
        <v>57</v>
      </c>
      <c r="G2" s="13"/>
      <c r="H2" s="4"/>
      <c r="I2" s="187" t="e">
        <f t="shared" ref="I2:I34" si="0">B1+D2-F2-B2</f>
        <v>#VALUE!</v>
      </c>
      <c r="J2" s="4"/>
      <c r="K2" s="4"/>
      <c r="L2" s="189">
        <v>9.6189999999999998</v>
      </c>
      <c r="M2" s="18">
        <v>9.336333333333334</v>
      </c>
      <c r="N2" s="5"/>
      <c r="O2" s="190">
        <f t="shared" ref="O2:O36" si="1">B2/L2</f>
        <v>9.148560141386838</v>
      </c>
      <c r="P2" s="190">
        <f>D2/M2</f>
        <v>5.3554214716698203</v>
      </c>
      <c r="Q2" s="190">
        <f t="shared" ref="Q2:Q36" si="2">F2/M2</f>
        <v>6.1051804777035947</v>
      </c>
    </row>
    <row r="3" spans="1:35">
      <c r="A3" s="8"/>
      <c r="B3" s="188">
        <v>114</v>
      </c>
      <c r="C3" s="191"/>
      <c r="D3" s="191">
        <v>102</v>
      </c>
      <c r="E3" s="191"/>
      <c r="F3" s="14">
        <v>76</v>
      </c>
      <c r="G3" s="14"/>
      <c r="H3" s="4"/>
      <c r="I3" s="187">
        <f t="shared" si="0"/>
        <v>0</v>
      </c>
      <c r="J3" s="4"/>
      <c r="K3" s="4"/>
      <c r="L3" s="189">
        <v>9.5244999999999997</v>
      </c>
      <c r="M3" s="18">
        <v>9.1415666666666677</v>
      </c>
      <c r="N3" s="5"/>
      <c r="O3" s="190">
        <f t="shared" si="1"/>
        <v>11.969132237912751</v>
      </c>
      <c r="P3" s="190">
        <f>O3-O2+Q3</f>
        <v>11.134245536891713</v>
      </c>
      <c r="Q3" s="190">
        <f t="shared" si="2"/>
        <v>8.3136734403658004</v>
      </c>
    </row>
    <row r="4" spans="1:35">
      <c r="A4" s="8"/>
      <c r="B4" s="188">
        <v>125</v>
      </c>
      <c r="C4" s="187"/>
      <c r="D4" s="187">
        <v>99</v>
      </c>
      <c r="E4" s="187"/>
      <c r="F4" s="13">
        <v>88</v>
      </c>
      <c r="G4" s="13"/>
      <c r="H4" s="4"/>
      <c r="I4" s="187">
        <f t="shared" si="0"/>
        <v>0</v>
      </c>
      <c r="J4" s="4"/>
      <c r="K4" s="4"/>
      <c r="L4" s="189">
        <v>8.7910000000000004</v>
      </c>
      <c r="M4" s="18">
        <v>8.5546666666666678</v>
      </c>
      <c r="N4" s="5"/>
      <c r="O4" s="190">
        <f t="shared" si="1"/>
        <v>14.219087703332953</v>
      </c>
      <c r="P4" s="190">
        <f t="shared" ref="P4:P36" si="3">O4-O3+Q4</f>
        <v>12.536738507814215</v>
      </c>
      <c r="Q4" s="190">
        <f t="shared" si="2"/>
        <v>10.286783042394013</v>
      </c>
    </row>
    <row r="5" spans="1:35">
      <c r="A5" s="8"/>
      <c r="B5" s="188">
        <v>121</v>
      </c>
      <c r="C5" s="191"/>
      <c r="D5" s="191">
        <v>130</v>
      </c>
      <c r="E5" s="191"/>
      <c r="F5" s="14">
        <v>134</v>
      </c>
      <c r="G5" s="14"/>
      <c r="H5" s="4"/>
      <c r="I5" s="187">
        <f t="shared" si="0"/>
        <v>0</v>
      </c>
      <c r="J5" s="4"/>
      <c r="K5" s="4"/>
      <c r="L5" s="189">
        <v>8.7035</v>
      </c>
      <c r="M5" s="18">
        <v>8.7314000000000007</v>
      </c>
      <c r="N5" s="5"/>
      <c r="O5" s="190">
        <f t="shared" si="1"/>
        <v>13.902453036134888</v>
      </c>
      <c r="P5" s="190">
        <f t="shared" si="3"/>
        <v>15.030274190487987</v>
      </c>
      <c r="Q5" s="190">
        <f t="shared" si="2"/>
        <v>15.346908857686051</v>
      </c>
      <c r="AF5" s="192" t="s">
        <v>192</v>
      </c>
    </row>
    <row r="6" spans="1:35">
      <c r="A6" s="8"/>
      <c r="B6" s="188">
        <v>142</v>
      </c>
      <c r="C6" s="187"/>
      <c r="D6" s="187">
        <v>103</v>
      </c>
      <c r="E6" s="187"/>
      <c r="F6" s="13">
        <v>82</v>
      </c>
      <c r="G6" s="13"/>
      <c r="H6" s="4"/>
      <c r="I6" s="187">
        <f t="shared" si="0"/>
        <v>0</v>
      </c>
      <c r="J6" s="4"/>
      <c r="K6" s="4"/>
      <c r="L6" s="189">
        <v>9.0365000000000002</v>
      </c>
      <c r="M6" s="18">
        <v>8.5920666666666659</v>
      </c>
      <c r="N6" s="5"/>
      <c r="O6" s="190">
        <f t="shared" si="1"/>
        <v>15.714048580755824</v>
      </c>
      <c r="P6" s="190">
        <f t="shared" si="3"/>
        <v>11.355283132395705</v>
      </c>
      <c r="Q6" s="190">
        <f t="shared" si="2"/>
        <v>9.5436875877747696</v>
      </c>
      <c r="AF6" s="192"/>
      <c r="AG6" s="8" t="s">
        <v>161</v>
      </c>
      <c r="AH6" s="8" t="s">
        <v>165</v>
      </c>
    </row>
    <row r="7" spans="1:35">
      <c r="A7" s="8"/>
      <c r="B7" s="188">
        <v>197</v>
      </c>
      <c r="C7" s="191"/>
      <c r="D7" s="191">
        <v>194</v>
      </c>
      <c r="E7" s="191"/>
      <c r="F7" s="14">
        <v>139</v>
      </c>
      <c r="G7" s="14"/>
      <c r="H7" s="4"/>
      <c r="I7" s="187">
        <f t="shared" si="0"/>
        <v>0</v>
      </c>
      <c r="J7" s="4"/>
      <c r="K7" s="4"/>
      <c r="L7" s="189">
        <v>8.1189999999999998</v>
      </c>
      <c r="M7" s="18">
        <v>8.2733333333333334</v>
      </c>
      <c r="N7" s="5"/>
      <c r="O7" s="190">
        <f t="shared" si="1"/>
        <v>24.264071930040647</v>
      </c>
      <c r="P7" s="190">
        <f t="shared" si="3"/>
        <v>25.35099031141214</v>
      </c>
      <c r="Q7" s="190">
        <f t="shared" si="2"/>
        <v>16.800966962127315</v>
      </c>
      <c r="AF7" s="192" t="s">
        <v>185</v>
      </c>
      <c r="AG7" s="20">
        <f>D26</f>
        <v>572.65684999999996</v>
      </c>
      <c r="AH7" s="20">
        <f>D30</f>
        <v>661.11950000000002</v>
      </c>
      <c r="AI7" s="193">
        <f>AH7/AG7-1</f>
        <v>0.154477589851584</v>
      </c>
    </row>
    <row r="8" spans="1:35">
      <c r="A8" s="8"/>
      <c r="B8" s="188">
        <v>170</v>
      </c>
      <c r="C8" s="187"/>
      <c r="D8" s="187">
        <v>131</v>
      </c>
      <c r="E8" s="187"/>
      <c r="F8" s="13">
        <v>158</v>
      </c>
      <c r="G8" s="13"/>
      <c r="H8" s="4"/>
      <c r="I8" s="187">
        <f t="shared" si="0"/>
        <v>0</v>
      </c>
      <c r="J8" s="4"/>
      <c r="K8" s="4"/>
      <c r="L8" s="189">
        <v>8.4034999999999993</v>
      </c>
      <c r="M8" s="18">
        <v>8.2074999999999996</v>
      </c>
      <c r="N8" s="5"/>
      <c r="O8" s="190">
        <f t="shared" si="1"/>
        <v>20.229666210507528</v>
      </c>
      <c r="P8" s="190">
        <f t="shared" si="3"/>
        <v>15.216279629233256</v>
      </c>
      <c r="Q8" s="190">
        <f t="shared" si="2"/>
        <v>19.250685348766375</v>
      </c>
    </row>
    <row r="9" spans="1:35">
      <c r="A9" s="8"/>
      <c r="B9" s="188">
        <v>181</v>
      </c>
      <c r="C9" s="191"/>
      <c r="D9" s="191">
        <v>150</v>
      </c>
      <c r="E9" s="191"/>
      <c r="F9" s="14">
        <v>139</v>
      </c>
      <c r="G9" s="14"/>
      <c r="H9" s="4"/>
      <c r="I9" s="187">
        <f t="shared" si="0"/>
        <v>0</v>
      </c>
      <c r="J9" s="4"/>
      <c r="K9" s="4"/>
      <c r="L9" s="189">
        <v>8.2550000000000008</v>
      </c>
      <c r="M9" s="18">
        <v>8.3465000000000007</v>
      </c>
      <c r="N9" s="5"/>
      <c r="O9" s="190">
        <f t="shared" si="1"/>
        <v>21.926105390672319</v>
      </c>
      <c r="P9" s="190">
        <f t="shared" si="3"/>
        <v>18.350126354429452</v>
      </c>
      <c r="Q9" s="190">
        <f t="shared" si="2"/>
        <v>16.653687174264661</v>
      </c>
    </row>
    <row r="10" spans="1:35">
      <c r="A10" s="8"/>
      <c r="B10" s="188">
        <v>270</v>
      </c>
      <c r="C10" s="187"/>
      <c r="D10" s="187">
        <v>261</v>
      </c>
      <c r="E10" s="187"/>
      <c r="F10" s="13">
        <v>172</v>
      </c>
      <c r="G10" s="13"/>
      <c r="H10" s="4"/>
      <c r="I10" s="187">
        <f t="shared" si="0"/>
        <v>0</v>
      </c>
      <c r="J10" s="4"/>
      <c r="K10" s="4"/>
      <c r="L10" s="189">
        <v>8.3825000000000003</v>
      </c>
      <c r="M10" s="18">
        <v>8.2437000000000005</v>
      </c>
      <c r="N10" s="5"/>
      <c r="O10" s="190">
        <f t="shared" si="1"/>
        <v>32.209961228750373</v>
      </c>
      <c r="P10" s="190">
        <f t="shared" si="3"/>
        <v>31.148273514606796</v>
      </c>
      <c r="Q10" s="190">
        <f t="shared" si="2"/>
        <v>20.864417676528742</v>
      </c>
      <c r="AF10" s="192" t="s">
        <v>193</v>
      </c>
    </row>
    <row r="11" spans="1:35">
      <c r="A11" s="8"/>
      <c r="B11" s="188">
        <v>279</v>
      </c>
      <c r="C11" s="191"/>
      <c r="D11" s="191">
        <v>272</v>
      </c>
      <c r="E11" s="191"/>
      <c r="F11" s="14">
        <v>263</v>
      </c>
      <c r="G11" s="14"/>
      <c r="H11" s="4"/>
      <c r="I11" s="187">
        <f t="shared" si="0"/>
        <v>0</v>
      </c>
      <c r="J11" s="4"/>
      <c r="K11" s="4"/>
      <c r="L11" s="189">
        <v>8.1140000000000008</v>
      </c>
      <c r="M11" s="18">
        <v>7.9316000000000004</v>
      </c>
      <c r="N11" s="5"/>
      <c r="O11" s="190">
        <f t="shared" si="1"/>
        <v>34.38501355681538</v>
      </c>
      <c r="P11" s="190">
        <f t="shared" si="3"/>
        <v>35.33355754769282</v>
      </c>
      <c r="Q11" s="190">
        <f t="shared" si="2"/>
        <v>33.158505219627813</v>
      </c>
      <c r="AD11" s="192" t="s">
        <v>128</v>
      </c>
      <c r="AF11" s="192" t="s">
        <v>98</v>
      </c>
      <c r="AG11" s="21">
        <v>0.6</v>
      </c>
    </row>
    <row r="12" spans="1:35">
      <c r="A12" s="8"/>
      <c r="B12" s="188">
        <v>237</v>
      </c>
      <c r="C12" s="187"/>
      <c r="D12" s="187">
        <v>216</v>
      </c>
      <c r="E12" s="187"/>
      <c r="F12" s="13">
        <v>258</v>
      </c>
      <c r="G12" s="13"/>
      <c r="H12" s="4"/>
      <c r="I12" s="187">
        <f t="shared" si="0"/>
        <v>0</v>
      </c>
      <c r="J12" s="4"/>
      <c r="K12" s="4"/>
      <c r="L12" s="189">
        <v>7.8845000000000001</v>
      </c>
      <c r="M12" s="18">
        <v>7.6154999999999999</v>
      </c>
      <c r="N12" s="5"/>
      <c r="O12" s="190">
        <f t="shared" si="1"/>
        <v>30.05897647282643</v>
      </c>
      <c r="P12" s="190">
        <f t="shared" si="3"/>
        <v>29.552237487608451</v>
      </c>
      <c r="Q12" s="190">
        <f t="shared" si="2"/>
        <v>33.878274571597402</v>
      </c>
      <c r="AE12" s="9"/>
      <c r="AF12" s="192" t="s">
        <v>99</v>
      </c>
      <c r="AG12" s="21">
        <v>0.25</v>
      </c>
    </row>
    <row r="13" spans="1:35">
      <c r="A13" s="8"/>
      <c r="B13" s="188">
        <v>274</v>
      </c>
      <c r="C13" s="191"/>
      <c r="D13" s="191">
        <v>270</v>
      </c>
      <c r="E13" s="191"/>
      <c r="F13" s="14">
        <v>233</v>
      </c>
      <c r="G13" s="14"/>
      <c r="H13" s="4"/>
      <c r="I13" s="187">
        <f t="shared" si="0"/>
        <v>0</v>
      </c>
      <c r="J13" s="4"/>
      <c r="K13" s="4"/>
      <c r="L13" s="189">
        <v>7.4740000000000002</v>
      </c>
      <c r="M13" s="18">
        <v>7.4301000000000004</v>
      </c>
      <c r="N13" s="5"/>
      <c r="O13" s="190">
        <f t="shared" si="1"/>
        <v>36.66042279903666</v>
      </c>
      <c r="P13" s="190">
        <f t="shared" si="3"/>
        <v>37.960378238297551</v>
      </c>
      <c r="Q13" s="190">
        <f t="shared" si="2"/>
        <v>31.358931912087318</v>
      </c>
      <c r="X13" s="192" t="s">
        <v>0</v>
      </c>
      <c r="Y13" s="192" t="s">
        <v>194</v>
      </c>
      <c r="Z13" s="192" t="s">
        <v>195</v>
      </c>
      <c r="AH13" s="10"/>
    </row>
    <row r="14" spans="1:35">
      <c r="A14" s="8"/>
      <c r="B14" s="188">
        <v>325</v>
      </c>
      <c r="C14" s="187"/>
      <c r="D14" s="187">
        <v>276</v>
      </c>
      <c r="E14" s="187"/>
      <c r="F14" s="13">
        <v>225</v>
      </c>
      <c r="G14" s="13"/>
      <c r="H14" s="4"/>
      <c r="I14" s="187">
        <f t="shared" si="0"/>
        <v>0</v>
      </c>
      <c r="J14" s="4"/>
      <c r="K14" s="4"/>
      <c r="L14" s="189">
        <v>7.3410000000000002</v>
      </c>
      <c r="M14" s="18">
        <v>7.3644999999999996</v>
      </c>
      <c r="N14" s="5"/>
      <c r="O14" s="190">
        <f t="shared" si="1"/>
        <v>44.271897561640102</v>
      </c>
      <c r="P14" s="190">
        <f t="shared" si="3"/>
        <v>38.163447062148563</v>
      </c>
      <c r="Q14" s="190">
        <f t="shared" si="2"/>
        <v>30.551972299545117</v>
      </c>
      <c r="U14" s="192" t="s">
        <v>196</v>
      </c>
      <c r="X14" s="83">
        <f>B45</f>
        <v>1458.2940000000001</v>
      </c>
      <c r="Y14" s="6">
        <v>9.8637999999999995</v>
      </c>
      <c r="Z14" s="83">
        <f>X14/Y14</f>
        <v>147.84302195908273</v>
      </c>
    </row>
    <row r="15" spans="1:35">
      <c r="A15" s="8"/>
      <c r="B15" s="188">
        <f>298+50</f>
        <v>348</v>
      </c>
      <c r="C15" s="191">
        <v>150</v>
      </c>
      <c r="D15" s="191">
        <f>449-120</f>
        <v>329</v>
      </c>
      <c r="E15" s="191">
        <v>120</v>
      </c>
      <c r="F15" s="14">
        <v>276</v>
      </c>
      <c r="G15" s="14"/>
      <c r="H15" s="4"/>
      <c r="I15" s="187">
        <f t="shared" si="0"/>
        <v>30</v>
      </c>
      <c r="J15" s="4"/>
      <c r="K15" s="4"/>
      <c r="L15" s="189">
        <v>7.3695000000000004</v>
      </c>
      <c r="M15" s="18">
        <v>7.3921000000000001</v>
      </c>
      <c r="N15" s="5"/>
      <c r="O15" s="190">
        <f t="shared" si="1"/>
        <v>47.221656828821494</v>
      </c>
      <c r="P15" s="190">
        <f t="shared" si="3"/>
        <v>40.286916502608399</v>
      </c>
      <c r="Q15" s="190">
        <f t="shared" si="2"/>
        <v>37.337157235427007</v>
      </c>
      <c r="U15" s="192" t="s">
        <v>101</v>
      </c>
      <c r="X15" s="194">
        <f>1591</f>
        <v>1591</v>
      </c>
      <c r="Y15" s="6">
        <f>X15/Z15</f>
        <v>12.527559055118111</v>
      </c>
      <c r="Z15" s="83">
        <v>127</v>
      </c>
      <c r="AF15" s="192" t="s">
        <v>197</v>
      </c>
    </row>
    <row r="16" spans="1:35">
      <c r="A16" s="8"/>
      <c r="B16" s="188">
        <v>551</v>
      </c>
      <c r="C16" s="187"/>
      <c r="D16" s="187">
        <v>488</v>
      </c>
      <c r="E16" s="187"/>
      <c r="F16" s="13">
        <f>434-149</f>
        <v>285</v>
      </c>
      <c r="G16" s="13">
        <v>149</v>
      </c>
      <c r="H16" s="4"/>
      <c r="I16" s="187">
        <f t="shared" si="0"/>
        <v>0</v>
      </c>
      <c r="J16" s="4"/>
      <c r="K16" s="4"/>
      <c r="L16" s="189">
        <v>7.5330000000000004</v>
      </c>
      <c r="M16" s="18">
        <v>7.5586999999999991</v>
      </c>
      <c r="N16" s="5"/>
      <c r="O16" s="190">
        <f t="shared" si="1"/>
        <v>73.144829417230852</v>
      </c>
      <c r="P16" s="190">
        <f t="shared" si="3"/>
        <v>63.628068933018888</v>
      </c>
      <c r="Q16" s="190">
        <f t="shared" si="2"/>
        <v>37.70489634460953</v>
      </c>
      <c r="U16" s="192" t="s">
        <v>14</v>
      </c>
      <c r="X16" s="83">
        <f>1070+64</f>
        <v>1134</v>
      </c>
      <c r="Y16" s="6">
        <v>10.4551</v>
      </c>
      <c r="Z16" s="83">
        <f t="shared" ref="Z16:Z17" si="4">X16/Y16</f>
        <v>108.46381191954166</v>
      </c>
      <c r="AF16" s="192" t="s">
        <v>98</v>
      </c>
      <c r="AG16" s="21">
        <v>9.0999999999999998E-2</v>
      </c>
    </row>
    <row r="17" spans="1:42">
      <c r="A17" s="8"/>
      <c r="B17" s="188">
        <v>525</v>
      </c>
      <c r="C17" s="191"/>
      <c r="D17" s="191">
        <v>464</v>
      </c>
      <c r="E17" s="191"/>
      <c r="F17" s="14">
        <v>489</v>
      </c>
      <c r="G17" s="14"/>
      <c r="H17" s="4"/>
      <c r="I17" s="187">
        <f t="shared" si="0"/>
        <v>1</v>
      </c>
      <c r="J17" s="4"/>
      <c r="K17" s="4"/>
      <c r="L17" s="189">
        <v>7.6040000000000001</v>
      </c>
      <c r="M17" s="18">
        <v>7.5863000000000005</v>
      </c>
      <c r="N17" s="5"/>
      <c r="O17" s="190">
        <f t="shared" si="1"/>
        <v>69.042609153077322</v>
      </c>
      <c r="P17" s="190">
        <f t="shared" si="3"/>
        <v>60.3560795658031</v>
      </c>
      <c r="Q17" s="190">
        <f t="shared" si="2"/>
        <v>64.45829982995663</v>
      </c>
      <c r="R17" s="25">
        <f>SUM(P14:P17)</f>
        <v>202.43451206357895</v>
      </c>
      <c r="U17" s="192" t="s">
        <v>198</v>
      </c>
      <c r="X17" s="83">
        <v>1915</v>
      </c>
      <c r="Y17" s="84">
        <v>11.51</v>
      </c>
      <c r="Z17" s="83">
        <f t="shared" si="4"/>
        <v>166.37706342311034</v>
      </c>
      <c r="AF17" s="192" t="s">
        <v>99</v>
      </c>
      <c r="AG17" s="22">
        <v>0.11550000000000001</v>
      </c>
    </row>
    <row r="18" spans="1:42">
      <c r="A18" s="8"/>
      <c r="B18" s="188">
        <v>560</v>
      </c>
      <c r="C18" s="187"/>
      <c r="D18" s="187">
        <v>402</v>
      </c>
      <c r="E18" s="187"/>
      <c r="F18" s="13">
        <v>368</v>
      </c>
      <c r="G18" s="13"/>
      <c r="H18" s="4"/>
      <c r="I18" s="187">
        <f t="shared" si="0"/>
        <v>-1</v>
      </c>
      <c r="J18" s="4"/>
      <c r="K18" s="4"/>
      <c r="L18" s="189">
        <v>7.7539999999999996</v>
      </c>
      <c r="M18" s="18">
        <v>7.7598000000000003</v>
      </c>
      <c r="N18" s="5"/>
      <c r="O18" s="190">
        <f t="shared" si="1"/>
        <v>72.220789270054169</v>
      </c>
      <c r="P18" s="190">
        <f t="shared" si="3"/>
        <v>50.602082794880914</v>
      </c>
      <c r="Q18" s="190">
        <f t="shared" si="2"/>
        <v>47.423902677904067</v>
      </c>
      <c r="U18" s="192" t="s">
        <v>199</v>
      </c>
      <c r="X18" s="83">
        <f>X14+X15-X16-X17</f>
        <v>0.29399999999986903</v>
      </c>
      <c r="Z18" s="83">
        <f>Z14+Z15-Z16-Z17</f>
        <v>2.1466164307639701E-3</v>
      </c>
      <c r="AF18" s="192"/>
    </row>
    <row r="19" spans="1:42">
      <c r="A19" s="8"/>
      <c r="B19" s="188">
        <v>501</v>
      </c>
      <c r="C19" s="191"/>
      <c r="D19" s="191">
        <v>418</v>
      </c>
      <c r="E19" s="191"/>
      <c r="F19" s="14">
        <v>478</v>
      </c>
      <c r="G19" s="14"/>
      <c r="H19" s="4"/>
      <c r="I19" s="187">
        <f t="shared" si="0"/>
        <v>-1</v>
      </c>
      <c r="J19" s="4"/>
      <c r="K19" s="4"/>
      <c r="L19" s="189">
        <v>7.8879999999999999</v>
      </c>
      <c r="M19" s="18">
        <v>7.7651000000000003</v>
      </c>
      <c r="N19" s="5"/>
      <c r="O19" s="190">
        <f t="shared" si="1"/>
        <v>63.514198782961458</v>
      </c>
      <c r="P19" s="190">
        <f t="shared" si="3"/>
        <v>52.850891064980019</v>
      </c>
      <c r="Q19" s="190">
        <f t="shared" si="2"/>
        <v>61.55748155207273</v>
      </c>
      <c r="X19" s="83"/>
      <c r="Z19" s="83"/>
    </row>
    <row r="20" spans="1:42">
      <c r="A20" s="8"/>
      <c r="B20" s="188">
        <v>434</v>
      </c>
      <c r="C20" s="187"/>
      <c r="D20" s="187">
        <v>403</v>
      </c>
      <c r="E20" s="187"/>
      <c r="F20" s="13">
        <v>470</v>
      </c>
      <c r="G20" s="13"/>
      <c r="H20" s="4"/>
      <c r="I20" s="187">
        <f t="shared" si="0"/>
        <v>0</v>
      </c>
      <c r="J20" s="4"/>
      <c r="K20" s="4"/>
      <c r="L20" s="189">
        <v>7.7874999999999996</v>
      </c>
      <c r="M20" s="18">
        <v>7.8242000000000003</v>
      </c>
      <c r="N20" s="5"/>
      <c r="O20" s="190">
        <f t="shared" si="1"/>
        <v>55.730337078651687</v>
      </c>
      <c r="P20" s="190">
        <f t="shared" si="3"/>
        <v>52.286177405119943</v>
      </c>
      <c r="Q20" s="190">
        <f t="shared" si="2"/>
        <v>60.070039109429715</v>
      </c>
      <c r="U20" s="192" t="s">
        <v>200</v>
      </c>
      <c r="X20" s="83">
        <f>X17/Y17*Y14</f>
        <v>1641.1100781928758</v>
      </c>
      <c r="Z20" s="83"/>
      <c r="AF20" s="192" t="s">
        <v>201</v>
      </c>
    </row>
    <row r="21" spans="1:42">
      <c r="A21" s="8"/>
      <c r="B21" s="188">
        <v>475</v>
      </c>
      <c r="C21" s="191"/>
      <c r="D21" s="191">
        <v>509</v>
      </c>
      <c r="E21" s="191"/>
      <c r="F21" s="14">
        <v>468</v>
      </c>
      <c r="G21" s="14"/>
      <c r="H21" s="4"/>
      <c r="I21" s="187">
        <f t="shared" si="0"/>
        <v>0</v>
      </c>
      <c r="J21" s="4"/>
      <c r="K21" s="4"/>
      <c r="L21" s="189">
        <v>7.8330000000000002</v>
      </c>
      <c r="M21" s="18">
        <v>7.8232999999999997</v>
      </c>
      <c r="N21" s="5"/>
      <c r="O21" s="190">
        <f t="shared" si="1"/>
        <v>60.64087833524831</v>
      </c>
      <c r="P21" s="190">
        <f t="shared" si="3"/>
        <v>64.731844287287004</v>
      </c>
      <c r="Q21" s="190">
        <f t="shared" si="2"/>
        <v>59.821303030690373</v>
      </c>
      <c r="R21" s="25">
        <f>SUM(P18:P21)</f>
        <v>220.47099555226788</v>
      </c>
      <c r="U21" s="192"/>
      <c r="AF21" s="192" t="s">
        <v>98</v>
      </c>
      <c r="AG21" s="9">
        <f>AG7*AG11*AG16</f>
        <v>31.267064009999995</v>
      </c>
    </row>
    <row r="22" spans="1:42">
      <c r="A22" s="8"/>
      <c r="B22" s="188">
        <v>574</v>
      </c>
      <c r="C22" s="191"/>
      <c r="D22" s="191">
        <v>488</v>
      </c>
      <c r="E22" s="191"/>
      <c r="F22" s="14">
        <v>389</v>
      </c>
      <c r="G22" s="14"/>
      <c r="H22" s="4"/>
      <c r="I22" s="187">
        <f t="shared" si="0"/>
        <v>0</v>
      </c>
      <c r="J22" s="4"/>
      <c r="K22" s="4"/>
      <c r="L22" s="189">
        <v>7.8125</v>
      </c>
      <c r="M22" s="18">
        <v>8.0543999999999993</v>
      </c>
      <c r="N22" s="5"/>
      <c r="O22" s="190">
        <f t="shared" si="1"/>
        <v>73.471999999999994</v>
      </c>
      <c r="P22" s="190">
        <f t="shared" si="3"/>
        <v>61.127704898760427</v>
      </c>
      <c r="Q22" s="190">
        <f t="shared" si="2"/>
        <v>48.296583234008743</v>
      </c>
      <c r="X22" s="192" t="s">
        <v>0</v>
      </c>
      <c r="Y22" s="192" t="s">
        <v>194</v>
      </c>
      <c r="Z22" s="192" t="s">
        <v>195</v>
      </c>
      <c r="AF22" s="192" t="s">
        <v>99</v>
      </c>
      <c r="AG22" s="20">
        <f>AG7*AG12*AG17</f>
        <v>16.535466543750001</v>
      </c>
    </row>
    <row r="23" spans="1:42">
      <c r="A23" s="8"/>
      <c r="B23" s="188">
        <v>615</v>
      </c>
      <c r="C23" s="191"/>
      <c r="D23" s="191">
        <v>502</v>
      </c>
      <c r="E23" s="191"/>
      <c r="F23" s="14">
        <v>461</v>
      </c>
      <c r="G23" s="14"/>
      <c r="H23" s="4"/>
      <c r="I23" s="187">
        <f t="shared" si="0"/>
        <v>0</v>
      </c>
      <c r="J23" s="4"/>
      <c r="K23" s="4"/>
      <c r="L23" s="189">
        <v>7.968</v>
      </c>
      <c r="M23" s="18">
        <v>7.9561000000000002</v>
      </c>
      <c r="N23" s="5"/>
      <c r="O23" s="190">
        <f t="shared" si="1"/>
        <v>77.183734939759034</v>
      </c>
      <c r="P23" s="190">
        <f t="shared" si="3"/>
        <v>61.654696943755972</v>
      </c>
      <c r="Q23" s="190">
        <f t="shared" si="2"/>
        <v>57.942962003996932</v>
      </c>
      <c r="U23" s="192" t="s">
        <v>196</v>
      </c>
      <c r="X23" s="83">
        <f>X14</f>
        <v>1458.2940000000001</v>
      </c>
      <c r="Y23" s="6">
        <v>9.8637999999999995</v>
      </c>
      <c r="Z23" s="83">
        <f>X23/Y23</f>
        <v>147.84302195908273</v>
      </c>
    </row>
    <row r="24" spans="1:42">
      <c r="A24" s="8"/>
      <c r="B24" s="188">
        <v>672</v>
      </c>
      <c r="C24" s="191"/>
      <c r="D24" s="191">
        <v>550</v>
      </c>
      <c r="E24" s="191"/>
      <c r="F24" s="14">
        <v>493</v>
      </c>
      <c r="G24" s="14"/>
      <c r="H24" s="4"/>
      <c r="I24" s="187">
        <f t="shared" si="0"/>
        <v>0</v>
      </c>
      <c r="J24" s="4"/>
      <c r="K24" s="4"/>
      <c r="L24" s="189">
        <v>7.9725000000000001</v>
      </c>
      <c r="M24" s="18">
        <v>7.9104000000000001</v>
      </c>
      <c r="N24" s="5"/>
      <c r="O24" s="190">
        <f t="shared" si="1"/>
        <v>84.289746001881468</v>
      </c>
      <c r="P24" s="190">
        <f t="shared" si="3"/>
        <v>69.429028861475189</v>
      </c>
      <c r="Q24" s="190">
        <f t="shared" si="2"/>
        <v>62.323017799352748</v>
      </c>
      <c r="U24" s="192" t="s">
        <v>101</v>
      </c>
      <c r="X24" s="83">
        <v>1317</v>
      </c>
      <c r="Y24" s="6">
        <f>X24/Z24</f>
        <v>10.37007874015748</v>
      </c>
      <c r="Z24" s="83">
        <v>127</v>
      </c>
    </row>
    <row r="25" spans="1:42">
      <c r="A25" s="8"/>
      <c r="B25" s="188">
        <v>656.95355000000006</v>
      </c>
      <c r="C25" s="191"/>
      <c r="D25" s="191">
        <v>568.35355000000004</v>
      </c>
      <c r="E25" s="191"/>
      <c r="F25" s="14">
        <v>583.4</v>
      </c>
      <c r="G25" s="14"/>
      <c r="H25" s="4"/>
      <c r="I25" s="187">
        <f t="shared" si="0"/>
        <v>0</v>
      </c>
      <c r="J25" s="4"/>
      <c r="K25" s="4"/>
      <c r="L25" s="189">
        <v>8.0289999999999999</v>
      </c>
      <c r="M25" s="18">
        <v>8.1052</v>
      </c>
      <c r="N25" s="5"/>
      <c r="O25" s="190">
        <f t="shared" si="1"/>
        <v>81.822586872586882</v>
      </c>
      <c r="P25" s="190">
        <f t="shared" si="3"/>
        <v>69.511323819923192</v>
      </c>
      <c r="Q25" s="190">
        <f t="shared" si="2"/>
        <v>71.978482949217778</v>
      </c>
      <c r="R25" s="25">
        <f>SUM(P22:P25)</f>
        <v>261.72275452391477</v>
      </c>
      <c r="U25" s="192" t="s">
        <v>14</v>
      </c>
      <c r="X25" s="83">
        <f>X16</f>
        <v>1134</v>
      </c>
      <c r="Y25" s="6">
        <v>10.4551</v>
      </c>
      <c r="Z25" s="83">
        <f t="shared" ref="Z25" si="5">X25/Y25</f>
        <v>108.46381191954166</v>
      </c>
      <c r="AF25" s="192" t="s">
        <v>202</v>
      </c>
    </row>
    <row r="26" spans="1:42">
      <c r="A26" s="8"/>
      <c r="B26" s="188">
        <f>94.4*8.7035</f>
        <v>821.61040000000003</v>
      </c>
      <c r="C26" s="191"/>
      <c r="D26" s="191">
        <f t="shared" ref="D26:D33" si="6">B26-B25+F26</f>
        <v>572.65684999999996</v>
      </c>
      <c r="E26" s="191"/>
      <c r="F26" s="14">
        <v>408</v>
      </c>
      <c r="G26" s="14"/>
      <c r="H26" s="6"/>
      <c r="I26" s="187">
        <f t="shared" si="0"/>
        <v>0</v>
      </c>
      <c r="J26" s="6"/>
      <c r="K26" s="6"/>
      <c r="L26" s="189">
        <v>8.3149999999999995</v>
      </c>
      <c r="M26" s="19">
        <v>8.3948666666666671</v>
      </c>
      <c r="O26" s="190">
        <f t="shared" si="1"/>
        <v>98.810631389055928</v>
      </c>
      <c r="P26" s="190">
        <f t="shared" si="3"/>
        <v>65.589173778001879</v>
      </c>
      <c r="Q26" s="190">
        <f t="shared" si="2"/>
        <v>48.60112926153284</v>
      </c>
      <c r="U26" s="192" t="s">
        <v>198</v>
      </c>
      <c r="X26" s="83">
        <f>X20</f>
        <v>1641.1100781928758</v>
      </c>
      <c r="Y26" s="84">
        <v>11.51</v>
      </c>
      <c r="Z26" s="83">
        <f>Z17</f>
        <v>166.37706342311034</v>
      </c>
      <c r="AD26" s="10"/>
      <c r="AE26" s="10"/>
      <c r="AF26" s="195" t="s">
        <v>203</v>
      </c>
      <c r="AG26" s="23">
        <f>AG7+AG21+AG22</f>
        <v>620.45938055374995</v>
      </c>
      <c r="AH26" s="24">
        <f>AH7</f>
        <v>661.11950000000002</v>
      </c>
      <c r="AI26" s="196">
        <f>-(AG26-AH26)/AG26</f>
        <v>6.5532282564511421E-2</v>
      </c>
      <c r="AJ26" s="10"/>
      <c r="AK26" s="10"/>
      <c r="AL26" s="10"/>
      <c r="AM26" s="10"/>
      <c r="AN26" s="10"/>
      <c r="AO26" s="10">
        <f>760.6/9.41</f>
        <v>80.828905419766201</v>
      </c>
      <c r="AP26" s="10"/>
    </row>
    <row r="27" spans="1:42" s="10" customFormat="1">
      <c r="A27" s="8"/>
      <c r="B27" s="188">
        <f>96.8*8.791</f>
        <v>850.96879999999999</v>
      </c>
      <c r="C27" s="191"/>
      <c r="D27" s="191">
        <f t="shared" si="6"/>
        <v>646.35839999999996</v>
      </c>
      <c r="E27" s="191"/>
      <c r="F27" s="14">
        <v>617</v>
      </c>
      <c r="G27" s="14"/>
      <c r="H27" s="6"/>
      <c r="I27" s="187">
        <f t="shared" si="0"/>
        <v>0</v>
      </c>
      <c r="J27" s="6"/>
      <c r="K27" s="6"/>
      <c r="L27" s="189">
        <v>8.4600000000000009</v>
      </c>
      <c r="M27" s="19">
        <v>8.7353333333333332</v>
      </c>
      <c r="N27" s="6"/>
      <c r="O27" s="190">
        <f t="shared" si="1"/>
        <v>100.58732860520094</v>
      </c>
      <c r="P27" s="190">
        <f t="shared" si="3"/>
        <v>72.409376755181867</v>
      </c>
      <c r="Q27" s="190">
        <f t="shared" si="2"/>
        <v>70.632679539036857</v>
      </c>
      <c r="R27" s="6"/>
      <c r="X27" s="83">
        <f>X23+X24-X25-X26</f>
        <v>0.18392180712407935</v>
      </c>
      <c r="Y27" s="6"/>
      <c r="Z27" s="83">
        <f>Z23+Z24-Z25-Z26</f>
        <v>2.1466164307639701E-3</v>
      </c>
    </row>
    <row r="28" spans="1:42" s="10" customFormat="1">
      <c r="A28" s="8"/>
      <c r="B28" s="188">
        <f>82.4*9.5245</f>
        <v>784.81880000000001</v>
      </c>
      <c r="C28" s="191"/>
      <c r="D28" s="191">
        <f t="shared" si="6"/>
        <v>571.85</v>
      </c>
      <c r="E28" s="191"/>
      <c r="F28" s="14">
        <v>638</v>
      </c>
      <c r="G28" s="14"/>
      <c r="H28" s="6"/>
      <c r="I28" s="187">
        <f t="shared" si="0"/>
        <v>0</v>
      </c>
      <c r="J28" s="6"/>
      <c r="K28" s="6"/>
      <c r="L28" s="189">
        <v>9.0180000000000007</v>
      </c>
      <c r="M28" s="19">
        <v>8.841333333333333</v>
      </c>
      <c r="N28" s="6"/>
      <c r="O28" s="190">
        <f t="shared" si="1"/>
        <v>87.028032823242398</v>
      </c>
      <c r="P28" s="190">
        <f t="shared" si="3"/>
        <v>58.601765898029399</v>
      </c>
      <c r="Q28" s="190">
        <f t="shared" si="2"/>
        <v>72.161061679987938</v>
      </c>
      <c r="R28" s="6"/>
      <c r="U28" s="197" t="s">
        <v>204</v>
      </c>
    </row>
    <row r="29" spans="1:42" s="10" customFormat="1">
      <c r="A29" s="8" t="s">
        <v>164</v>
      </c>
      <c r="B29" s="188">
        <f>(67.2+1.3)*9.619</f>
        <v>658.90149999999994</v>
      </c>
      <c r="C29" s="191"/>
      <c r="D29" s="191">
        <f t="shared" si="6"/>
        <v>551.08269999999993</v>
      </c>
      <c r="E29" s="191"/>
      <c r="F29" s="14">
        <v>677</v>
      </c>
      <c r="G29" s="14"/>
      <c r="H29" s="6"/>
      <c r="I29" s="187">
        <f t="shared" si="0"/>
        <v>0</v>
      </c>
      <c r="J29" s="6"/>
      <c r="K29" s="6"/>
      <c r="L29" s="189">
        <v>8.89</v>
      </c>
      <c r="M29" s="19">
        <v>8.9463333333333335</v>
      </c>
      <c r="N29" s="6"/>
      <c r="O29" s="190">
        <f t="shared" si="1"/>
        <v>74.117154105736773</v>
      </c>
      <c r="P29" s="190">
        <f t="shared" si="3"/>
        <v>62.762581545544407</v>
      </c>
      <c r="Q29" s="190">
        <f t="shared" si="2"/>
        <v>75.673460263050032</v>
      </c>
      <c r="R29" s="25">
        <f>SUM(P26:P29)</f>
        <v>259.36289797675749</v>
      </c>
      <c r="U29" s="197" t="s">
        <v>205</v>
      </c>
      <c r="X29" s="83">
        <f>(Y24/Y23-1)*X24</f>
        <v>67.59758924424689</v>
      </c>
    </row>
    <row r="30" spans="1:42" s="10" customFormat="1">
      <c r="A30" s="8"/>
      <c r="B30" s="188">
        <f>(93.1-5)*9.41</f>
        <v>829.02099999999996</v>
      </c>
      <c r="C30" s="191"/>
      <c r="D30" s="191">
        <f t="shared" si="6"/>
        <v>661.11950000000002</v>
      </c>
      <c r="E30" s="191"/>
      <c r="F30" s="14">
        <v>491</v>
      </c>
      <c r="G30" s="14"/>
      <c r="H30" s="6"/>
      <c r="I30" s="187">
        <f t="shared" si="0"/>
        <v>0</v>
      </c>
      <c r="J30" s="6"/>
      <c r="K30" s="6"/>
      <c r="L30" s="189">
        <v>9.4145000000000003</v>
      </c>
      <c r="M30" s="19">
        <v>9.5258000000000003</v>
      </c>
      <c r="N30" s="6"/>
      <c r="O30" s="190">
        <f t="shared" si="1"/>
        <v>88.057889425885591</v>
      </c>
      <c r="P30" s="190">
        <f t="shared" si="3"/>
        <v>65.484962576652208</v>
      </c>
      <c r="Q30" s="190">
        <f t="shared" si="2"/>
        <v>51.54422725650339</v>
      </c>
      <c r="R30" s="25">
        <f>SUM(P27:P30)</f>
        <v>259.25868677540791</v>
      </c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>
      <c r="A31" s="8"/>
      <c r="B31" s="188">
        <f>(89.7-2)*9.3008</f>
        <v>815.68016000000011</v>
      </c>
      <c r="C31" s="191"/>
      <c r="D31" s="191">
        <f t="shared" si="6"/>
        <v>666.65916000000016</v>
      </c>
      <c r="E31" s="191"/>
      <c r="F31" s="14">
        <v>680</v>
      </c>
      <c r="G31" s="14"/>
      <c r="H31" s="6"/>
      <c r="I31" s="187">
        <f t="shared" si="0"/>
        <v>0</v>
      </c>
      <c r="J31" s="6"/>
      <c r="K31" s="6"/>
      <c r="L31" s="189">
        <v>9.3000000000000007</v>
      </c>
      <c r="M31" s="19">
        <v>9.32</v>
      </c>
      <c r="O31" s="190">
        <f t="shared" si="1"/>
        <v>87.707544086021514</v>
      </c>
      <c r="P31" s="190">
        <f t="shared" si="3"/>
        <v>72.611028050693861</v>
      </c>
      <c r="Q31" s="190">
        <f t="shared" si="2"/>
        <v>72.961373390557938</v>
      </c>
      <c r="U31" s="192" t="s">
        <v>206</v>
      </c>
      <c r="X31" s="83">
        <f>X24-X29</f>
        <v>1249.4024107557532</v>
      </c>
      <c r="AD31" s="73" t="s">
        <v>207</v>
      </c>
      <c r="AE31" s="74"/>
      <c r="AF31" s="74"/>
      <c r="AG31" s="74"/>
      <c r="AH31" s="74"/>
      <c r="AI31" s="74"/>
      <c r="AJ31" s="10"/>
      <c r="AK31" s="10"/>
      <c r="AL31" s="10"/>
      <c r="AM31" s="10"/>
      <c r="AN31" s="10"/>
      <c r="AO31" s="10"/>
      <c r="AP31" s="10"/>
    </row>
    <row r="32" spans="1:42" s="10" customFormat="1">
      <c r="A32" s="8"/>
      <c r="B32" s="188">
        <f>(85.2+3)*8.9865</f>
        <v>792.60929999999996</v>
      </c>
      <c r="C32" s="191"/>
      <c r="D32" s="191">
        <f t="shared" si="6"/>
        <v>612.92913999999985</v>
      </c>
      <c r="E32" s="191"/>
      <c r="F32" s="14">
        <v>636</v>
      </c>
      <c r="G32" s="14"/>
      <c r="H32" s="6"/>
      <c r="I32" s="187">
        <f t="shared" si="0"/>
        <v>0</v>
      </c>
      <c r="J32" s="6"/>
      <c r="K32" s="6"/>
      <c r="L32" s="189">
        <v>8.99</v>
      </c>
      <c r="M32" s="19">
        <v>9.2899999999999991</v>
      </c>
      <c r="N32" s="6"/>
      <c r="O32" s="190">
        <f t="shared" si="1"/>
        <v>88.165661846496107</v>
      </c>
      <c r="P32" s="190">
        <f t="shared" si="3"/>
        <v>68.918828201809362</v>
      </c>
      <c r="Q32" s="190">
        <f t="shared" si="2"/>
        <v>68.460710441334768</v>
      </c>
      <c r="R32" s="6"/>
      <c r="AJ32" s="195" t="s">
        <v>124</v>
      </c>
      <c r="AK32" s="195" t="s">
        <v>27</v>
      </c>
      <c r="AL32" s="195" t="s">
        <v>82</v>
      </c>
    </row>
    <row r="33" spans="1:42" s="10" customFormat="1">
      <c r="A33" s="8" t="s">
        <v>168</v>
      </c>
      <c r="B33" s="188">
        <v>704</v>
      </c>
      <c r="C33" s="191"/>
      <c r="D33" s="191">
        <f t="shared" si="6"/>
        <v>649.39070000000004</v>
      </c>
      <c r="E33" s="191"/>
      <c r="F33" s="14">
        <v>738</v>
      </c>
      <c r="G33" s="14"/>
      <c r="H33" s="6"/>
      <c r="I33" s="187">
        <f t="shared" si="0"/>
        <v>0</v>
      </c>
      <c r="J33" s="6"/>
      <c r="K33" s="6"/>
      <c r="L33" s="189">
        <v>8.99</v>
      </c>
      <c r="M33" s="19">
        <v>9.2899999999999991</v>
      </c>
      <c r="N33" s="6"/>
      <c r="O33" s="190">
        <f t="shared" si="1"/>
        <v>78.309232480533922</v>
      </c>
      <c r="P33" s="190">
        <f t="shared" si="3"/>
        <v>69.58382897634138</v>
      </c>
      <c r="Q33" s="190">
        <f t="shared" si="2"/>
        <v>79.440258342303565</v>
      </c>
      <c r="R33" s="6"/>
      <c r="U33" s="197" t="s">
        <v>208</v>
      </c>
      <c r="V33" s="195"/>
      <c r="X33" s="85">
        <f>X15-X31</f>
        <v>341.59758924424682</v>
      </c>
      <c r="AD33" s="73" t="s">
        <v>209</v>
      </c>
      <c r="AE33" s="74"/>
      <c r="AF33" s="74"/>
      <c r="AG33" s="74"/>
      <c r="AH33" s="74"/>
      <c r="AI33" s="74"/>
      <c r="AJ33" s="10">
        <v>131.9</v>
      </c>
      <c r="AK33" s="10">
        <v>77.5</v>
      </c>
      <c r="AL33" s="10">
        <f>SUM(AJ33:AK33)</f>
        <v>209.4</v>
      </c>
    </row>
    <row r="34" spans="1:42" s="10" customFormat="1">
      <c r="A34" s="8"/>
      <c r="B34" s="188">
        <v>873.73899000000006</v>
      </c>
      <c r="C34" s="191">
        <v>264.70496000000003</v>
      </c>
      <c r="D34" s="191">
        <v>681.73899000000006</v>
      </c>
      <c r="E34" s="191">
        <v>144</v>
      </c>
      <c r="F34" s="14">
        <v>512</v>
      </c>
      <c r="G34" s="14">
        <v>175</v>
      </c>
      <c r="H34" s="6"/>
      <c r="I34" s="187">
        <f t="shared" si="0"/>
        <v>0</v>
      </c>
      <c r="J34" s="6"/>
      <c r="K34" s="6"/>
      <c r="L34" s="189">
        <v>8.99</v>
      </c>
      <c r="M34" s="19">
        <v>9.2899999999999991</v>
      </c>
      <c r="N34" s="6"/>
      <c r="O34" s="190">
        <f t="shared" si="1"/>
        <v>97.190098998887663</v>
      </c>
      <c r="P34" s="190">
        <f t="shared" si="3"/>
        <v>73.993891276157839</v>
      </c>
      <c r="Q34" s="190">
        <f t="shared" si="2"/>
        <v>55.113024757804098</v>
      </c>
      <c r="R34" s="6"/>
      <c r="U34" s="197" t="s">
        <v>210</v>
      </c>
      <c r="X34" s="85">
        <f>X17-X26</f>
        <v>273.88992180712421</v>
      </c>
      <c r="AD34" s="73" t="s">
        <v>211</v>
      </c>
      <c r="AE34" s="74"/>
      <c r="AF34" s="74"/>
      <c r="AG34" s="74"/>
      <c r="AH34" s="74"/>
      <c r="AI34" s="74"/>
      <c r="AJ34" s="10">
        <v>107.5</v>
      </c>
      <c r="AK34" s="10">
        <v>75.2</v>
      </c>
      <c r="AL34" s="10">
        <f>SUM(AJ34:AK34)</f>
        <v>182.7</v>
      </c>
      <c r="AN34" s="195" t="s">
        <v>212</v>
      </c>
      <c r="AO34" s="24">
        <f>B34+C34</f>
        <v>1138.4439500000001</v>
      </c>
    </row>
    <row r="35" spans="1:42" s="10" customFormat="1">
      <c r="A35" s="8"/>
      <c r="B35" s="188">
        <f>873+220</f>
        <v>1093</v>
      </c>
      <c r="C35" s="191"/>
      <c r="D35" s="191">
        <f>752+199</f>
        <v>951</v>
      </c>
      <c r="E35" s="191"/>
      <c r="F35" s="14">
        <f>753+244</f>
        <v>997</v>
      </c>
      <c r="G35" s="14"/>
      <c r="H35" s="6"/>
      <c r="I35" s="187">
        <f>B34+C34+D35-F35-B35</f>
        <v>-0.55605000000014115</v>
      </c>
      <c r="J35" s="6"/>
      <c r="K35" s="6"/>
      <c r="L35" s="189">
        <v>8.99</v>
      </c>
      <c r="M35" s="19">
        <v>9.2899999999999991</v>
      </c>
      <c r="N35" s="6"/>
      <c r="O35" s="190">
        <f t="shared" si="1"/>
        <v>121.57953281423804</v>
      </c>
      <c r="P35" s="190">
        <f t="shared" si="3"/>
        <v>131.70913241599624</v>
      </c>
      <c r="Q35" s="190">
        <f t="shared" si="2"/>
        <v>107.31969860064586</v>
      </c>
      <c r="AD35" s="73" t="s">
        <v>213</v>
      </c>
      <c r="AE35" s="74"/>
      <c r="AF35" s="74"/>
      <c r="AG35" s="74"/>
      <c r="AH35" s="74"/>
      <c r="AI35" s="74"/>
      <c r="AJ35" s="10">
        <f>AJ33-AJ34</f>
        <v>24.400000000000006</v>
      </c>
      <c r="AK35" s="10">
        <f>AK33-AK34</f>
        <v>2.2999999999999972</v>
      </c>
      <c r="AL35" s="10">
        <f>SUM(AJ35:AK35)</f>
        <v>26.700000000000003</v>
      </c>
      <c r="AN35" s="195" t="s">
        <v>212</v>
      </c>
      <c r="AO35" s="24">
        <f>B35+C35</f>
        <v>1093</v>
      </c>
    </row>
    <row r="36" spans="1:42" s="10" customFormat="1">
      <c r="A36" s="8"/>
      <c r="B36" s="188">
        <f>924+302</f>
        <v>1226</v>
      </c>
      <c r="C36" s="191"/>
      <c r="D36" s="191">
        <f>724+240</f>
        <v>964</v>
      </c>
      <c r="E36" s="191"/>
      <c r="F36" s="14">
        <f>673+158</f>
        <v>831</v>
      </c>
      <c r="G36" s="14"/>
      <c r="H36" s="6"/>
      <c r="I36" s="187">
        <f t="shared" ref="I36:I37" si="7">B35+D36-F36-B36</f>
        <v>0</v>
      </c>
      <c r="J36" s="6"/>
      <c r="K36" s="6"/>
      <c r="L36" s="189">
        <v>8.99</v>
      </c>
      <c r="M36" s="19">
        <v>9.2899999999999991</v>
      </c>
      <c r="N36" s="6"/>
      <c r="O36" s="190">
        <f t="shared" si="1"/>
        <v>136.37374860956618</v>
      </c>
      <c r="P36" s="190">
        <f t="shared" si="3"/>
        <v>104.24523840027972</v>
      </c>
      <c r="Q36" s="190">
        <f t="shared" si="2"/>
        <v>89.451022604951575</v>
      </c>
      <c r="AD36" s="73" t="s">
        <v>214</v>
      </c>
      <c r="AE36" s="74"/>
      <c r="AF36" s="74"/>
      <c r="AG36" s="74"/>
      <c r="AH36" s="74"/>
      <c r="AI36" s="10">
        <v>3.5</v>
      </c>
      <c r="AN36" s="195"/>
      <c r="AO36" s="24"/>
    </row>
    <row r="37" spans="1:42" s="10" customFormat="1">
      <c r="A37" s="8" t="s">
        <v>172</v>
      </c>
      <c r="B37" s="188">
        <f>872+275</f>
        <v>1147</v>
      </c>
      <c r="C37" s="191"/>
      <c r="D37" s="191">
        <f>793+174</f>
        <v>967</v>
      </c>
      <c r="E37" s="191"/>
      <c r="F37" s="14">
        <f>845+201</f>
        <v>1046</v>
      </c>
      <c r="G37" s="14"/>
      <c r="H37" s="6"/>
      <c r="I37" s="187">
        <f t="shared" si="7"/>
        <v>0</v>
      </c>
      <c r="J37" s="6"/>
      <c r="K37" s="6"/>
      <c r="L37" s="189"/>
      <c r="M37" s="19"/>
      <c r="N37" s="6"/>
      <c r="O37" s="190"/>
      <c r="P37" s="190"/>
      <c r="Q37" s="190"/>
      <c r="AD37" s="73" t="s">
        <v>215</v>
      </c>
      <c r="AE37" s="74"/>
      <c r="AF37" s="74"/>
      <c r="AG37" s="74"/>
      <c r="AH37" s="74"/>
      <c r="AI37" s="10">
        <v>10</v>
      </c>
      <c r="AL37" s="6"/>
      <c r="AM37" s="6"/>
      <c r="AN37" s="192" t="s">
        <v>185</v>
      </c>
      <c r="AO37" s="20">
        <f>D35+E35</f>
        <v>951</v>
      </c>
      <c r="AP37" s="6"/>
    </row>
    <row r="38" spans="1:42">
      <c r="A38" s="8"/>
      <c r="B38" s="188">
        <f>162.4*9.64-86-60+9</f>
        <v>1428.5360000000001</v>
      </c>
      <c r="C38" s="191">
        <f>8.9*9.64</f>
        <v>85.796000000000006</v>
      </c>
      <c r="D38" s="191">
        <f>1188-86</f>
        <v>1102</v>
      </c>
      <c r="E38" s="191">
        <f>8.9*9.64</f>
        <v>85.796000000000006</v>
      </c>
      <c r="F38" s="14">
        <f>820-11</f>
        <v>809</v>
      </c>
      <c r="G38" s="14">
        <v>11</v>
      </c>
      <c r="H38" s="6"/>
      <c r="I38" s="187">
        <f t="shared" ref="I38:I47" si="8">B37+C37+D38+E38-F38-G38-B38-C38</f>
        <v>0.46399999999975705</v>
      </c>
      <c r="J38" s="6"/>
      <c r="K38" s="6"/>
      <c r="U38" s="192" t="s">
        <v>216</v>
      </c>
      <c r="X38" s="83">
        <f>X25</f>
        <v>1134</v>
      </c>
      <c r="Y38" s="6">
        <v>10.4551</v>
      </c>
      <c r="Z38" s="83">
        <f t="shared" ref="Z38" si="9">X38/Y38</f>
        <v>108.46381191954166</v>
      </c>
      <c r="AD38" s="73" t="s">
        <v>217</v>
      </c>
      <c r="AE38" s="75"/>
      <c r="AF38" s="75"/>
      <c r="AG38" s="75"/>
      <c r="AH38" s="75"/>
      <c r="AI38" s="10">
        <v>5.2</v>
      </c>
      <c r="AL38" s="10"/>
      <c r="AM38" s="10"/>
      <c r="AN38" s="195" t="s">
        <v>218</v>
      </c>
      <c r="AO38" s="24">
        <f>B35+C35</f>
        <v>1093</v>
      </c>
      <c r="AP38" s="10"/>
    </row>
    <row r="39" spans="1:42" s="10" customFormat="1">
      <c r="A39" s="8"/>
      <c r="B39" s="188">
        <f>176.7*9.51-95</f>
        <v>1585.4169999999999</v>
      </c>
      <c r="C39" s="191"/>
      <c r="D39" s="191">
        <f>1239-95</f>
        <v>1144</v>
      </c>
      <c r="E39" s="191"/>
      <c r="F39" s="14">
        <v>1073</v>
      </c>
      <c r="G39" s="14"/>
      <c r="H39" s="6"/>
      <c r="I39" s="187">
        <f t="shared" si="8"/>
        <v>-8.4999999999581632E-2</v>
      </c>
      <c r="J39" s="6"/>
      <c r="K39" s="6"/>
      <c r="L39" s="6"/>
      <c r="M39" s="6"/>
      <c r="N39" s="6"/>
      <c r="O39" s="6"/>
      <c r="P39" s="195" t="s">
        <v>183</v>
      </c>
      <c r="U39" s="197" t="s">
        <v>219</v>
      </c>
      <c r="X39" s="83">
        <f>Z38*Y23</f>
        <v>1069.8653480119749</v>
      </c>
      <c r="Y39" s="10">
        <f>X39/Z39</f>
        <v>9.8637999999999995</v>
      </c>
      <c r="Z39" s="85">
        <f>Z38</f>
        <v>108.46381191954166</v>
      </c>
      <c r="AD39" s="73" t="s">
        <v>220</v>
      </c>
      <c r="AE39" s="74"/>
      <c r="AF39" s="74"/>
      <c r="AG39" s="74"/>
      <c r="AH39" s="74"/>
      <c r="AI39" s="10">
        <v>12.1</v>
      </c>
      <c r="AL39" s="10">
        <f>SUM(AI36:AI39)</f>
        <v>30.799999999999997</v>
      </c>
      <c r="AN39" s="195"/>
      <c r="AO39" s="24"/>
    </row>
    <row r="40" spans="1:42" s="10" customFormat="1">
      <c r="A40" s="8"/>
      <c r="B40" s="188">
        <f>172.7*9.46-55</f>
        <v>1578.742</v>
      </c>
      <c r="C40" s="191"/>
      <c r="D40" s="191">
        <v>1105</v>
      </c>
      <c r="E40" s="191"/>
      <c r="F40" s="14">
        <v>1112</v>
      </c>
      <c r="G40" s="14"/>
      <c r="H40" s="6"/>
      <c r="I40" s="187">
        <f t="shared" si="8"/>
        <v>-0.32500000000004547</v>
      </c>
      <c r="J40" s="6"/>
      <c r="K40" s="6"/>
      <c r="L40" s="6"/>
      <c r="M40" s="6"/>
      <c r="N40" s="6"/>
      <c r="O40" s="6"/>
      <c r="P40" s="195"/>
      <c r="U40" s="195" t="s">
        <v>213</v>
      </c>
      <c r="X40" s="83">
        <f>X38-X39</f>
        <v>64.134651988025098</v>
      </c>
      <c r="AD40" s="73"/>
      <c r="AE40" s="74"/>
      <c r="AF40" s="74"/>
      <c r="AG40" s="74"/>
      <c r="AH40" s="74"/>
      <c r="AN40" s="195"/>
      <c r="AO40" s="24"/>
    </row>
    <row r="41" spans="1:42" s="10" customFormat="1">
      <c r="A41" s="8" t="s">
        <v>176</v>
      </c>
      <c r="B41" s="188">
        <f>145.7*9.9483-50</f>
        <v>1399.4673099999998</v>
      </c>
      <c r="C41" s="191"/>
      <c r="D41" s="191">
        <f>1449-1579+1326-50</f>
        <v>1146</v>
      </c>
      <c r="E41" s="191"/>
      <c r="F41" s="14">
        <v>1326</v>
      </c>
      <c r="G41" s="14"/>
      <c r="H41" s="6"/>
      <c r="I41" s="187">
        <f t="shared" si="8"/>
        <v>-0.72530999999958112</v>
      </c>
      <c r="J41" s="6"/>
      <c r="K41" s="6"/>
      <c r="L41" s="6"/>
      <c r="M41" s="6"/>
      <c r="N41" s="6"/>
      <c r="O41" s="6"/>
      <c r="P41" s="195"/>
      <c r="AD41" s="73" t="s">
        <v>213</v>
      </c>
      <c r="AE41" s="74"/>
      <c r="AF41" s="74"/>
      <c r="AG41" s="74"/>
      <c r="AH41" s="74"/>
      <c r="AI41" s="74"/>
      <c r="AL41" s="10">
        <f>AL35-AL39</f>
        <v>-4.0999999999999943</v>
      </c>
      <c r="AN41" s="195"/>
      <c r="AO41" s="24"/>
    </row>
    <row r="42" spans="1:42" s="10" customFormat="1">
      <c r="A42" s="8"/>
      <c r="B42" s="198">
        <f>(62.9+13+18+57.7)*9.659</f>
        <v>1464.3044000000002</v>
      </c>
      <c r="C42" s="199"/>
      <c r="D42" s="199">
        <v>1104</v>
      </c>
      <c r="E42" s="199"/>
      <c r="F42" s="69">
        <v>1039</v>
      </c>
      <c r="G42" s="69"/>
      <c r="H42" s="6"/>
      <c r="I42" s="187">
        <f t="shared" si="8"/>
        <v>0.16290999999978339</v>
      </c>
      <c r="J42" s="6"/>
      <c r="K42" s="6"/>
      <c r="L42" s="6"/>
      <c r="M42" s="6"/>
      <c r="N42" s="6"/>
      <c r="O42" s="6"/>
      <c r="P42" s="195"/>
      <c r="AD42" s="76"/>
      <c r="AN42" s="195"/>
      <c r="AO42" s="24"/>
    </row>
    <row r="43" spans="1:42" s="10" customFormat="1">
      <c r="A43" s="8"/>
      <c r="B43" s="198">
        <f>(139.6)*9.638</f>
        <v>1345.4648</v>
      </c>
      <c r="C43" s="199"/>
      <c r="D43" s="199">
        <v>1111</v>
      </c>
      <c r="E43" s="199"/>
      <c r="F43" s="69">
        <v>1230</v>
      </c>
      <c r="G43" s="69"/>
      <c r="H43" s="6"/>
      <c r="I43" s="187">
        <f t="shared" si="8"/>
        <v>-0.16039999999998145</v>
      </c>
      <c r="J43" s="6"/>
      <c r="K43" s="6"/>
      <c r="L43" s="6"/>
      <c r="M43" s="6"/>
      <c r="N43" s="6"/>
      <c r="O43" s="6"/>
      <c r="P43" s="195"/>
      <c r="AD43" s="76"/>
      <c r="AN43" s="195"/>
      <c r="AO43" s="24"/>
    </row>
    <row r="44" spans="1:42" s="10" customFormat="1">
      <c r="A44" s="8"/>
      <c r="B44" s="198">
        <f>(55.9+53.6+27.3+10.2)*9.8953-25</f>
        <v>1429.6091000000001</v>
      </c>
      <c r="C44" s="199"/>
      <c r="D44" s="199">
        <f>1249-25</f>
        <v>1224</v>
      </c>
      <c r="E44" s="199"/>
      <c r="F44" s="69">
        <v>1140</v>
      </c>
      <c r="G44" s="69"/>
      <c r="H44" s="6"/>
      <c r="I44" s="187">
        <f t="shared" si="8"/>
        <v>-0.1443000000003849</v>
      </c>
      <c r="J44" s="6"/>
      <c r="K44" s="6"/>
      <c r="L44" s="6"/>
      <c r="M44" s="6"/>
      <c r="N44" s="6"/>
      <c r="O44" s="6"/>
      <c r="P44" s="195"/>
      <c r="AD44" s="76"/>
      <c r="AN44" s="195"/>
      <c r="AO44" s="24"/>
    </row>
    <row r="45" spans="1:42" s="10" customFormat="1">
      <c r="A45" s="8" t="s">
        <v>45</v>
      </c>
      <c r="B45" s="198">
        <f>(57.2+55.7+31.4+7)*9.86-3.4*9.86</f>
        <v>1458.2940000000001</v>
      </c>
      <c r="C45" s="199"/>
      <c r="D45" s="199">
        <v>1332</v>
      </c>
      <c r="E45" s="199"/>
      <c r="F45" s="69">
        <v>1303</v>
      </c>
      <c r="G45" s="69"/>
      <c r="H45" s="6"/>
      <c r="I45" s="187">
        <f t="shared" si="8"/>
        <v>0.31510000000002947</v>
      </c>
      <c r="J45" s="6"/>
      <c r="K45" s="6"/>
      <c r="L45" s="6"/>
      <c r="M45" s="6"/>
      <c r="N45" s="6"/>
      <c r="O45" s="6"/>
      <c r="P45" s="195"/>
      <c r="AD45" s="76"/>
      <c r="AN45" s="195"/>
      <c r="AO45" s="24"/>
    </row>
    <row r="46" spans="1:42" s="10" customFormat="1">
      <c r="A46" s="8"/>
      <c r="B46" s="198">
        <f>1915-J46</f>
        <v>1642</v>
      </c>
      <c r="C46" s="199"/>
      <c r="D46" s="199">
        <f>1591-370</f>
        <v>1221</v>
      </c>
      <c r="E46" s="199"/>
      <c r="F46" s="69">
        <f>1134-89</f>
        <v>1045</v>
      </c>
      <c r="G46" s="69"/>
      <c r="H46" s="83">
        <v>370</v>
      </c>
      <c r="I46" s="187">
        <f t="shared" si="8"/>
        <v>-7.706000000000131</v>
      </c>
      <c r="J46" s="6">
        <v>273</v>
      </c>
      <c r="K46" s="6">
        <v>89</v>
      </c>
      <c r="L46" s="6"/>
      <c r="M46" s="6"/>
      <c r="N46" s="201">
        <f>H46/(H46+D46)</f>
        <v>0.23255813953488372</v>
      </c>
      <c r="O46" s="201">
        <f>J46/(J46+B46)</f>
        <v>0.14255874673629243</v>
      </c>
      <c r="P46" s="193">
        <f>J46/B46</f>
        <v>0.16626065773447016</v>
      </c>
      <c r="AD46" s="195"/>
      <c r="AJ46" s="195"/>
      <c r="AK46" s="6"/>
      <c r="AL46" s="6"/>
      <c r="AM46" s="6"/>
      <c r="AN46" s="6"/>
      <c r="AO46" s="6"/>
      <c r="AP46" s="6"/>
    </row>
    <row r="47" spans="1:42" s="10" customFormat="1">
      <c r="A47" s="8"/>
      <c r="B47" s="198">
        <f>(63.7+96.3)*10.912</f>
        <v>1745.92</v>
      </c>
      <c r="C47" s="199"/>
      <c r="D47" s="199">
        <f>1368-273</f>
        <v>1095</v>
      </c>
      <c r="E47" s="199"/>
      <c r="F47" s="69">
        <v>1264</v>
      </c>
      <c r="G47" s="69"/>
      <c r="H47" s="83"/>
      <c r="I47" s="187">
        <f t="shared" si="8"/>
        <v>-272.92000000000007</v>
      </c>
      <c r="J47" s="6"/>
      <c r="K47" s="6"/>
      <c r="L47" s="6"/>
      <c r="M47" s="6"/>
      <c r="N47" s="6"/>
      <c r="O47" s="6"/>
      <c r="P47" s="195"/>
      <c r="AD47" s="195"/>
      <c r="AJ47" s="195"/>
      <c r="AK47" s="6"/>
      <c r="AL47" s="6"/>
      <c r="AM47" s="6"/>
      <c r="AN47" s="6"/>
      <c r="AO47" s="6"/>
      <c r="AP47" s="6"/>
    </row>
    <row r="48" spans="1:42" s="10" customFormat="1">
      <c r="A48" s="8"/>
      <c r="B48" s="198">
        <f>(56.4+83.9)*11.1</f>
        <v>1557.3300000000002</v>
      </c>
      <c r="C48" s="199"/>
      <c r="D48" s="199">
        <v>1102</v>
      </c>
      <c r="E48" s="199"/>
      <c r="F48" s="69">
        <v>1291</v>
      </c>
      <c r="G48" s="69"/>
      <c r="H48" s="83"/>
      <c r="I48" s="187">
        <f>B47+D48-F48-B48</f>
        <v>-0.41000000000008185</v>
      </c>
      <c r="J48" s="6"/>
      <c r="K48" s="6"/>
      <c r="L48" s="6"/>
      <c r="M48" s="6"/>
      <c r="N48" s="6"/>
      <c r="O48" s="6"/>
      <c r="P48" s="195"/>
      <c r="AD48" s="195"/>
      <c r="AJ48" s="195"/>
      <c r="AK48" s="6"/>
      <c r="AL48" s="6"/>
      <c r="AM48" s="6"/>
      <c r="AN48" s="6"/>
      <c r="AO48" s="6"/>
      <c r="AP48" s="6"/>
    </row>
    <row r="49" spans="1:42" s="10" customFormat="1">
      <c r="A49" s="174" t="s">
        <v>49</v>
      </c>
      <c r="B49" s="198">
        <f>(87.7+52.7)*10.4703</f>
        <v>1470.0301200000001</v>
      </c>
      <c r="C49" s="199"/>
      <c r="D49" s="199">
        <v>1229</v>
      </c>
      <c r="E49" s="199"/>
      <c r="F49" s="69">
        <v>1316</v>
      </c>
      <c r="G49" s="69"/>
      <c r="H49" s="83"/>
      <c r="I49" s="187">
        <f>B48+D49-F49-B49</f>
        <v>0.29987999999980275</v>
      </c>
      <c r="J49" s="6"/>
      <c r="K49" s="6"/>
      <c r="L49" s="6"/>
      <c r="M49" s="6"/>
      <c r="N49" s="6"/>
      <c r="O49" s="6"/>
      <c r="P49" s="195"/>
      <c r="AD49" s="195"/>
      <c r="AJ49" s="195"/>
      <c r="AK49" s="6"/>
      <c r="AL49" s="6"/>
      <c r="AM49" s="6"/>
      <c r="AN49" s="6"/>
      <c r="AO49" s="6"/>
      <c r="AP49" s="6"/>
    </row>
    <row r="50" spans="1:42">
      <c r="A50" s="192" t="s">
        <v>14</v>
      </c>
      <c r="E50" s="6"/>
      <c r="F50" s="6"/>
      <c r="G50" s="6"/>
      <c r="H50" s="192" t="s">
        <v>185</v>
      </c>
      <c r="I50" s="6"/>
      <c r="J50" s="6"/>
      <c r="K50" s="6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95" t="s">
        <v>221</v>
      </c>
      <c r="AO50" s="24">
        <f>AO34+AO35+AO37-AO38</f>
        <v>2089.4439499999999</v>
      </c>
      <c r="AP50" s="10"/>
    </row>
    <row r="51" spans="1:42" s="10" customFormat="1">
      <c r="A51" s="192" t="s">
        <v>222</v>
      </c>
      <c r="B51" s="6"/>
      <c r="C51" s="6"/>
      <c r="D51" s="6"/>
      <c r="E51" s="6"/>
      <c r="F51" s="6"/>
      <c r="G51" s="6"/>
      <c r="H51" s="6"/>
      <c r="I51" s="6"/>
      <c r="J51" s="6"/>
      <c r="K51" s="192"/>
      <c r="L51" s="6"/>
      <c r="M51" s="6"/>
      <c r="N51" s="6"/>
      <c r="O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>
      <c r="A52" s="192" t="s">
        <v>223</v>
      </c>
      <c r="E52" s="6"/>
      <c r="F52" s="6"/>
      <c r="G52" s="6"/>
      <c r="H52" s="6"/>
      <c r="I52" s="6"/>
      <c r="K52" s="6"/>
    </row>
    <row r="53" spans="1:42" s="10" customForma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42">
      <c r="A54" s="6"/>
      <c r="E54" s="6"/>
      <c r="F54" s="6"/>
      <c r="G54" s="6"/>
      <c r="H54" s="6"/>
      <c r="I54" s="6"/>
      <c r="J54" s="6"/>
      <c r="K54" s="6"/>
    </row>
    <row r="55" spans="1:42" s="10" customForma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42">
      <c r="A56" s="6"/>
      <c r="E56" s="6"/>
      <c r="F56" s="6"/>
      <c r="G56" s="6"/>
      <c r="H56" s="6"/>
      <c r="I56" s="6"/>
      <c r="J56" s="6"/>
      <c r="K56" s="6"/>
    </row>
    <row r="57" spans="1:42" s="10" customForma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42">
      <c r="A58" s="6"/>
      <c r="E58" s="6"/>
      <c r="F58" s="6"/>
      <c r="G58" s="6"/>
      <c r="H58" s="6"/>
      <c r="I58" s="6"/>
      <c r="J58" s="6"/>
      <c r="K58" s="6"/>
    </row>
    <row r="59" spans="1:42" s="10" customForma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42">
      <c r="A60" s="6"/>
      <c r="E60" s="6"/>
      <c r="F60" s="6"/>
      <c r="G60" s="6"/>
      <c r="H60" s="6"/>
      <c r="I60" s="6"/>
      <c r="J60" s="6"/>
      <c r="K60" s="6"/>
    </row>
    <row r="61" spans="1:42" s="10" customForma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42">
      <c r="A62" s="6"/>
      <c r="E62" s="6"/>
      <c r="F62" s="6"/>
      <c r="G62" s="6"/>
      <c r="H62" s="6"/>
      <c r="I62" s="6"/>
      <c r="J62" s="6"/>
      <c r="K62" s="6"/>
    </row>
    <row r="63" spans="1:42">
      <c r="A63" s="6"/>
      <c r="E63" s="6"/>
      <c r="F63" s="6"/>
      <c r="G63" s="6"/>
      <c r="H63" s="6"/>
      <c r="I63" s="6"/>
      <c r="J63" s="6"/>
      <c r="K63" s="6"/>
    </row>
    <row r="64" spans="1:42">
      <c r="A64" s="6"/>
      <c r="E64" s="6"/>
      <c r="F64" s="6"/>
      <c r="G64" s="6"/>
      <c r="H64" s="6"/>
      <c r="I64" s="6"/>
      <c r="J64" s="6"/>
      <c r="K64" s="6"/>
    </row>
    <row r="65" spans="1:11">
      <c r="A65" s="6"/>
      <c r="E65" s="6"/>
      <c r="F65" s="6"/>
      <c r="G65" s="6"/>
      <c r="H65" s="6"/>
      <c r="I65" s="6"/>
      <c r="J65" s="6"/>
      <c r="K65" s="6"/>
    </row>
    <row r="66" spans="1:11">
      <c r="A66" s="6"/>
      <c r="E66" s="6"/>
      <c r="F66" s="6"/>
      <c r="G66" s="6"/>
      <c r="H66" s="6"/>
      <c r="I66" s="6"/>
      <c r="J66" s="6"/>
      <c r="K66" s="6"/>
    </row>
    <row r="67" spans="1:11">
      <c r="E67" s="6"/>
      <c r="F67" s="6"/>
      <c r="G67" s="6"/>
      <c r="H67" s="6"/>
      <c r="I67" s="6"/>
      <c r="J67" s="6"/>
      <c r="K67" s="6"/>
    </row>
    <row r="68" spans="1:11">
      <c r="E68" s="6"/>
      <c r="F68" s="6"/>
      <c r="G68" s="6"/>
      <c r="H68" s="6"/>
      <c r="I68" s="6"/>
      <c r="J68" s="6"/>
      <c r="K68" s="6"/>
    </row>
    <row r="69" spans="1:11">
      <c r="E69" s="6"/>
      <c r="F69" s="6"/>
      <c r="G69" s="6"/>
      <c r="H69" s="6"/>
      <c r="I69" s="6"/>
      <c r="J69" s="6"/>
      <c r="K69" s="6"/>
    </row>
    <row r="70" spans="1:11">
      <c r="E70" s="6"/>
      <c r="F70" s="6"/>
      <c r="G70" s="6"/>
      <c r="H70" s="6"/>
      <c r="I70" s="6"/>
      <c r="J70" s="6"/>
      <c r="K70" s="6"/>
    </row>
    <row r="71" spans="1:11">
      <c r="E71" s="6"/>
      <c r="F71" s="6"/>
    </row>
    <row r="72" spans="1:11">
      <c r="E72" s="6"/>
      <c r="F72" s="6"/>
    </row>
    <row r="73" spans="1:11">
      <c r="E73" s="6"/>
      <c r="F73" s="6"/>
      <c r="G73" s="6"/>
      <c r="H73" s="6"/>
      <c r="I73" s="6"/>
      <c r="J73" s="6"/>
      <c r="K73" s="6"/>
    </row>
    <row r="74" spans="1:11">
      <c r="E74" s="6"/>
      <c r="F74" s="6"/>
      <c r="G74" s="6"/>
      <c r="H74" s="6"/>
      <c r="I74" s="6"/>
      <c r="J74" s="6"/>
      <c r="K74" s="6"/>
    </row>
    <row r="75" spans="1:11">
      <c r="E75" s="6"/>
      <c r="F75" s="6"/>
      <c r="G75" s="6"/>
      <c r="H75" s="6"/>
      <c r="I75" s="6"/>
      <c r="J75" s="6"/>
      <c r="K75" s="6"/>
    </row>
    <row r="76" spans="1:11">
      <c r="E76" s="6"/>
      <c r="F76" s="6"/>
      <c r="G76" s="6"/>
      <c r="H76" s="6"/>
      <c r="I76" s="6"/>
      <c r="J76" s="6"/>
      <c r="K76" s="6"/>
    </row>
    <row r="77" spans="1:11">
      <c r="E77" s="6"/>
      <c r="F77" s="6"/>
      <c r="G77" s="6"/>
      <c r="H77" s="6"/>
      <c r="I77" s="6"/>
      <c r="J77" s="6"/>
      <c r="K77" s="6"/>
    </row>
    <row r="78" spans="1:11">
      <c r="E78" s="6"/>
      <c r="F78" s="6"/>
      <c r="G78" s="6"/>
      <c r="H78" s="6"/>
      <c r="I78" s="6"/>
      <c r="J78" s="6"/>
      <c r="K78" s="6"/>
    </row>
    <row r="79" spans="1:11">
      <c r="E79" s="6"/>
      <c r="F79" s="6"/>
      <c r="G79" s="6"/>
      <c r="H79" s="6"/>
      <c r="I79" s="6"/>
      <c r="J79" s="6"/>
      <c r="K79" s="6"/>
    </row>
    <row r="80" spans="1:11">
      <c r="E80" s="6"/>
      <c r="F80" s="6"/>
      <c r="G80" s="6"/>
      <c r="H80" s="6"/>
      <c r="I80" s="6"/>
      <c r="J80" s="6"/>
      <c r="K80" s="6"/>
    </row>
    <row r="81" spans="5:11">
      <c r="E81" s="6"/>
      <c r="F81" s="6"/>
      <c r="G81" s="6"/>
      <c r="H81" s="6"/>
      <c r="I81" s="6"/>
      <c r="J81" s="6"/>
      <c r="K81" s="6"/>
    </row>
    <row r="82" spans="5:11">
      <c r="E82" s="6"/>
      <c r="F82" s="6"/>
      <c r="G82" s="6"/>
      <c r="H82" s="6"/>
      <c r="I82" s="6"/>
      <c r="J82" s="6"/>
      <c r="K82" s="6"/>
    </row>
    <row r="83" spans="5:11">
      <c r="E83" s="6"/>
      <c r="F83" s="6"/>
      <c r="G83" s="6"/>
      <c r="H83" s="6"/>
      <c r="I83" s="6"/>
      <c r="J83" s="6"/>
      <c r="K83" s="6"/>
    </row>
    <row r="84" spans="5:11">
      <c r="E84" s="6"/>
      <c r="F84" s="6"/>
      <c r="G84" s="6"/>
      <c r="H84" s="6"/>
      <c r="I84" s="6"/>
      <c r="J84" s="6"/>
      <c r="K84" s="6">
        <f>370+1221</f>
        <v>1591</v>
      </c>
    </row>
    <row r="85" spans="5:11">
      <c r="E85" s="6"/>
      <c r="F85" s="6"/>
      <c r="G85" s="6"/>
      <c r="H85" s="6"/>
      <c r="I85" s="6"/>
      <c r="J85" s="6"/>
      <c r="K85" s="6">
        <f>370/1591</f>
        <v>0.23255813953488372</v>
      </c>
    </row>
    <row r="86" spans="5:11">
      <c r="E86" s="6"/>
      <c r="F86" s="6"/>
      <c r="G86" s="6"/>
      <c r="H86" s="6"/>
      <c r="I86" s="6"/>
      <c r="J86" s="6"/>
      <c r="K86" s="6"/>
    </row>
    <row r="87" spans="5:11">
      <c r="E87" s="6"/>
      <c r="F87" s="6"/>
      <c r="G87" s="6"/>
      <c r="H87" s="6"/>
      <c r="I87" s="6"/>
      <c r="J87" s="6"/>
      <c r="K87" s="6"/>
    </row>
    <row r="88" spans="5:11">
      <c r="E88" s="6"/>
      <c r="F88" s="6"/>
      <c r="G88" s="6"/>
      <c r="H88" s="6"/>
      <c r="I88" s="6"/>
      <c r="J88" s="6"/>
      <c r="K88" s="6"/>
    </row>
    <row r="89" spans="5:11">
      <c r="E89" s="6"/>
      <c r="F89" s="6"/>
      <c r="G89" s="6"/>
      <c r="H89" s="6"/>
      <c r="I89" s="6"/>
      <c r="J89" s="6"/>
      <c r="K89" s="6"/>
    </row>
    <row r="90" spans="5:11">
      <c r="E90" s="6"/>
      <c r="F90" s="6"/>
      <c r="G90" s="6"/>
      <c r="H90" s="6"/>
      <c r="I90" s="6"/>
      <c r="J90" s="6"/>
      <c r="K90" s="6"/>
    </row>
    <row r="91" spans="5:11">
      <c r="E91" s="6"/>
      <c r="F91" s="6"/>
      <c r="G91" s="6"/>
      <c r="H91" s="6"/>
      <c r="I91" s="6"/>
      <c r="J91" s="6"/>
      <c r="K91" s="6"/>
    </row>
    <row r="92" spans="5:11">
      <c r="E92" s="6"/>
      <c r="F92" s="6"/>
      <c r="G92" s="6"/>
      <c r="H92" s="6"/>
      <c r="I92" s="6"/>
      <c r="J92" s="6"/>
      <c r="K92" s="6"/>
    </row>
    <row r="93" spans="5:11">
      <c r="E93" s="6"/>
      <c r="F93" s="6"/>
      <c r="G93" s="6"/>
      <c r="H93" s="6"/>
      <c r="I93" s="6"/>
      <c r="J93" s="6"/>
      <c r="K93" s="6"/>
    </row>
    <row r="94" spans="5:11">
      <c r="E94" s="6"/>
      <c r="F94" s="6"/>
      <c r="G94" s="6"/>
      <c r="H94" s="6"/>
      <c r="I94" s="6"/>
      <c r="J94" s="6"/>
      <c r="K94" s="6"/>
    </row>
    <row r="95" spans="5:11">
      <c r="E95" s="6"/>
      <c r="F95" s="6"/>
      <c r="G95" s="6"/>
      <c r="H95" s="6"/>
      <c r="I95" s="6"/>
      <c r="J95" s="6"/>
      <c r="K95" s="6"/>
    </row>
    <row r="96" spans="5:11">
      <c r="E96" s="6"/>
      <c r="F96" s="6"/>
      <c r="G96" s="6"/>
      <c r="H96" s="6"/>
      <c r="I96" s="6"/>
      <c r="J96" s="6"/>
      <c r="K96" s="6"/>
    </row>
    <row r="97" spans="5:11">
      <c r="E97" s="6"/>
      <c r="F97" s="6"/>
      <c r="G97" s="6"/>
      <c r="H97" s="6"/>
      <c r="I97" s="6"/>
      <c r="J97" s="6"/>
      <c r="K97" s="6"/>
    </row>
    <row r="98" spans="5:11">
      <c r="E98" s="6"/>
      <c r="F98" s="6"/>
      <c r="G98" s="6"/>
      <c r="H98" s="6"/>
      <c r="I98" s="6"/>
      <c r="J98" s="6"/>
      <c r="K98" s="6"/>
    </row>
    <row r="99" spans="5:11">
      <c r="E99" s="6"/>
      <c r="F99" s="6"/>
      <c r="G99" s="6"/>
      <c r="H99" s="6"/>
      <c r="I99" s="6"/>
      <c r="J99" s="6"/>
      <c r="K99" s="6"/>
    </row>
    <row r="100" spans="5:11">
      <c r="E100" s="6"/>
      <c r="F100" s="6"/>
      <c r="G100" s="6"/>
      <c r="H100" s="6"/>
      <c r="I100" s="6"/>
      <c r="J100" s="6"/>
      <c r="K100" s="6"/>
    </row>
    <row r="101" spans="5:11">
      <c r="E101" s="6"/>
      <c r="F101" s="6"/>
      <c r="G101" s="6"/>
      <c r="H101" s="6"/>
      <c r="I101" s="6"/>
      <c r="J101" s="6"/>
      <c r="K101" s="6"/>
    </row>
    <row r="102" spans="5:11">
      <c r="E102" s="6"/>
      <c r="F102" s="6"/>
      <c r="G102" s="6"/>
      <c r="H102" s="6"/>
      <c r="I102" s="6"/>
      <c r="J102" s="6"/>
      <c r="K102" s="6"/>
    </row>
    <row r="103" spans="5:11">
      <c r="E103" s="6"/>
      <c r="F103" s="6"/>
      <c r="G103" s="6"/>
      <c r="H103" s="6"/>
      <c r="I103" s="6"/>
      <c r="J103" s="6"/>
      <c r="K103" s="6"/>
    </row>
    <row r="104" spans="5:11">
      <c r="E104" s="6"/>
      <c r="F104" s="6"/>
      <c r="G104" s="6"/>
      <c r="H104" s="6"/>
      <c r="I104" s="6"/>
      <c r="J104" s="6"/>
      <c r="K104" s="6"/>
    </row>
    <row r="105" spans="5:11">
      <c r="E105" s="6"/>
      <c r="F105" s="6"/>
      <c r="G105" s="6"/>
      <c r="H105" s="6"/>
      <c r="I105" s="6"/>
      <c r="J105" s="6"/>
      <c r="K105" s="6"/>
    </row>
    <row r="106" spans="5:11">
      <c r="E106" s="6"/>
      <c r="F106" s="6"/>
      <c r="G106" s="6"/>
      <c r="H106" s="6"/>
      <c r="I106" s="6"/>
      <c r="J106" s="6"/>
      <c r="K106" s="6"/>
    </row>
    <row r="107" spans="5:11">
      <c r="E107" s="6"/>
      <c r="F107" s="6"/>
      <c r="G107" s="6"/>
      <c r="H107" s="6"/>
      <c r="I107" s="6"/>
      <c r="J107" s="6"/>
      <c r="K107" s="6"/>
    </row>
    <row r="108" spans="5:11">
      <c r="E108" s="6"/>
      <c r="F108" s="6"/>
      <c r="G108" s="6"/>
      <c r="H108" s="6"/>
      <c r="I108" s="6"/>
      <c r="J108" s="6"/>
      <c r="K108" s="6"/>
    </row>
    <row r="109" spans="5:11">
      <c r="E109" s="6"/>
      <c r="F109" s="6"/>
      <c r="G109" s="6"/>
      <c r="H109" s="6"/>
      <c r="I109" s="6"/>
      <c r="J109" s="6"/>
      <c r="K109" s="6"/>
    </row>
    <row r="110" spans="5:11">
      <c r="E110" s="6"/>
      <c r="F110" s="6"/>
      <c r="G110" s="6"/>
      <c r="H110" s="6"/>
      <c r="I110" s="6"/>
      <c r="J110" s="6"/>
      <c r="K110" s="6"/>
    </row>
    <row r="111" spans="5:11">
      <c r="E111" s="6"/>
      <c r="F111" s="6"/>
      <c r="G111" s="6"/>
      <c r="H111" s="6"/>
      <c r="I111" s="6"/>
      <c r="J111" s="6"/>
      <c r="K111" s="6"/>
    </row>
    <row r="112" spans="5:11">
      <c r="E112" s="6"/>
      <c r="F112" s="6"/>
      <c r="G112" s="6"/>
      <c r="H112" s="6"/>
      <c r="I112" s="6"/>
      <c r="J112" s="6"/>
      <c r="K112" s="6"/>
    </row>
    <row r="113" spans="5:11">
      <c r="E113" s="6"/>
      <c r="F113" s="6"/>
      <c r="G113" s="6"/>
      <c r="H113" s="6"/>
      <c r="I113" s="6"/>
      <c r="J113" s="6"/>
      <c r="K113" s="6"/>
    </row>
    <row r="114" spans="5:11">
      <c r="E114" s="6"/>
      <c r="F114" s="6"/>
      <c r="G114" s="6"/>
      <c r="H114" s="6"/>
      <c r="I114" s="6"/>
      <c r="J114" s="6"/>
      <c r="K114" s="6"/>
    </row>
    <row r="115" spans="5:11">
      <c r="E115" s="6"/>
      <c r="F115" s="6"/>
      <c r="G115" s="6"/>
      <c r="H115" s="6"/>
      <c r="I115" s="6"/>
      <c r="J115" s="6"/>
      <c r="K115" s="6"/>
    </row>
    <row r="116" spans="5:11">
      <c r="E116" s="6"/>
      <c r="F116" s="6"/>
      <c r="G116" s="6"/>
      <c r="H116" s="6"/>
      <c r="I116" s="6"/>
      <c r="J116" s="6"/>
      <c r="K116" s="6"/>
    </row>
    <row r="117" spans="5:11">
      <c r="E117" s="6"/>
      <c r="F117" s="6"/>
      <c r="G117" s="6"/>
      <c r="H117" s="6"/>
      <c r="I117" s="6"/>
      <c r="J117" s="6"/>
      <c r="K117" s="6"/>
    </row>
    <row r="118" spans="5:11">
      <c r="E118" s="6"/>
      <c r="F118" s="6"/>
      <c r="G118" s="6"/>
      <c r="H118" s="6"/>
      <c r="I118" s="6"/>
      <c r="J118" s="6"/>
      <c r="K118" s="6"/>
    </row>
    <row r="119" spans="5:11">
      <c r="E119" s="6"/>
      <c r="F119" s="6"/>
      <c r="G119" s="6"/>
      <c r="H119" s="6"/>
      <c r="I119" s="6"/>
      <c r="J119" s="6"/>
      <c r="K119" s="6"/>
    </row>
    <row r="120" spans="5:11">
      <c r="E120" s="6"/>
      <c r="F120" s="6"/>
      <c r="G120" s="6"/>
      <c r="H120" s="6"/>
      <c r="I120" s="6"/>
      <c r="J120" s="6"/>
      <c r="K120" s="6"/>
    </row>
    <row r="121" spans="5:11">
      <c r="E121" s="6"/>
      <c r="F121" s="6"/>
      <c r="G121" s="6"/>
      <c r="H121" s="6"/>
      <c r="I121" s="6"/>
      <c r="J121" s="6"/>
      <c r="K121" s="6"/>
    </row>
    <row r="122" spans="5:11">
      <c r="E122" s="6"/>
      <c r="F122" s="6"/>
      <c r="G122" s="6"/>
      <c r="H122" s="6"/>
      <c r="I122" s="6"/>
      <c r="J122" s="6"/>
      <c r="K122" s="6"/>
    </row>
    <row r="123" spans="5:11">
      <c r="E123" s="6"/>
      <c r="F123" s="6"/>
      <c r="G123" s="6"/>
      <c r="H123" s="6"/>
      <c r="I123" s="6"/>
      <c r="J123" s="6"/>
      <c r="K123" s="6"/>
    </row>
    <row r="124" spans="5:11">
      <c r="E124" s="6"/>
      <c r="F124" s="6"/>
      <c r="G124" s="6"/>
      <c r="H124" s="6"/>
      <c r="I124" s="6"/>
      <c r="J124" s="6"/>
      <c r="K124" s="6"/>
    </row>
    <row r="125" spans="5:11">
      <c r="E125" s="6"/>
      <c r="F125" s="6"/>
      <c r="G125" s="6"/>
      <c r="H125" s="6"/>
      <c r="I125" s="6"/>
      <c r="J125" s="6"/>
      <c r="K125" s="6"/>
    </row>
    <row r="126" spans="5:11">
      <c r="E126" s="6"/>
      <c r="F126" s="6"/>
      <c r="G126" s="6"/>
      <c r="H126" s="6"/>
      <c r="I126" s="6"/>
      <c r="J126" s="6"/>
      <c r="K126" s="6"/>
    </row>
    <row r="127" spans="5:11">
      <c r="E127" s="6"/>
      <c r="F127" s="6"/>
      <c r="G127" s="6"/>
      <c r="H127" s="6"/>
      <c r="I127" s="6"/>
      <c r="J127" s="6"/>
      <c r="K127" s="6"/>
    </row>
    <row r="128" spans="5:11">
      <c r="E128" s="6"/>
      <c r="F128" s="6"/>
      <c r="G128" s="6"/>
      <c r="H128" s="6"/>
      <c r="I128" s="6"/>
      <c r="J128" s="6"/>
      <c r="K128" s="6"/>
    </row>
    <row r="129" spans="5:11">
      <c r="E129" s="6"/>
      <c r="F129" s="6"/>
      <c r="G129" s="6"/>
      <c r="H129" s="6"/>
      <c r="I129" s="6"/>
      <c r="J129" s="6"/>
      <c r="K129" s="6"/>
    </row>
    <row r="130" spans="5:11">
      <c r="E130" s="6"/>
      <c r="F130" s="6"/>
      <c r="G130" s="6"/>
      <c r="H130" s="6"/>
      <c r="I130" s="6"/>
      <c r="J130" s="6"/>
      <c r="K130" s="6"/>
    </row>
    <row r="131" spans="5:11">
      <c r="E131" s="6"/>
      <c r="F131" s="6"/>
      <c r="G131" s="6"/>
      <c r="H131" s="6"/>
      <c r="I131" s="6"/>
      <c r="J131" s="6"/>
      <c r="K131" s="6"/>
    </row>
    <row r="132" spans="5:11">
      <c r="E132" s="6"/>
      <c r="F132" s="6"/>
      <c r="G132" s="6"/>
      <c r="H132" s="6"/>
      <c r="I132" s="6"/>
      <c r="J132" s="6"/>
      <c r="K132" s="6"/>
    </row>
    <row r="133" spans="5:11">
      <c r="E133" s="6"/>
      <c r="F133" s="6"/>
      <c r="G133" s="6"/>
      <c r="H133" s="6"/>
      <c r="I133" s="6"/>
      <c r="J133" s="6"/>
      <c r="K133" s="6"/>
    </row>
    <row r="134" spans="5:11">
      <c r="E134" s="6"/>
      <c r="F134" s="6"/>
      <c r="G134" s="6"/>
      <c r="H134" s="6"/>
      <c r="I134" s="6"/>
      <c r="J134" s="6"/>
      <c r="K134" s="6"/>
    </row>
    <row r="135" spans="5:11">
      <c r="E135" s="6"/>
      <c r="F135" s="6"/>
      <c r="G135" s="6"/>
      <c r="H135" s="6"/>
      <c r="I135" s="6"/>
      <c r="J135" s="6"/>
      <c r="K135" s="6"/>
    </row>
    <row r="136" spans="5:11">
      <c r="E136" s="6"/>
      <c r="F136" s="6"/>
      <c r="G136" s="6"/>
      <c r="H136" s="6"/>
      <c r="I136" s="6"/>
      <c r="J136" s="6"/>
      <c r="K136" s="6"/>
    </row>
    <row r="137" spans="5:11">
      <c r="E137" s="6"/>
      <c r="F137" s="6"/>
      <c r="G137" s="6"/>
      <c r="H137" s="6"/>
      <c r="I137" s="6"/>
      <c r="J137" s="6"/>
      <c r="K137" s="6"/>
    </row>
    <row r="138" spans="5:11">
      <c r="E138" s="6"/>
      <c r="F138" s="6"/>
      <c r="G138" s="6"/>
      <c r="H138" s="6"/>
      <c r="I138" s="6"/>
      <c r="J138" s="6"/>
      <c r="K138" s="6"/>
    </row>
    <row r="139" spans="5:11">
      <c r="E139" s="6"/>
      <c r="F139" s="6"/>
      <c r="G139" s="6"/>
      <c r="H139" s="6"/>
      <c r="I139" s="6"/>
      <c r="J139" s="6"/>
      <c r="K139" s="6"/>
    </row>
    <row r="140" spans="5:11">
      <c r="E140" s="6"/>
      <c r="F140" s="6"/>
      <c r="G140" s="6"/>
      <c r="H140" s="6"/>
      <c r="I140" s="6"/>
      <c r="J140" s="6"/>
      <c r="K140" s="6"/>
    </row>
    <row r="141" spans="5:11">
      <c r="E141" s="6"/>
      <c r="F141" s="6"/>
      <c r="G141" s="6"/>
      <c r="H141" s="6"/>
      <c r="I141" s="6"/>
      <c r="J141" s="6"/>
      <c r="K141" s="6"/>
    </row>
    <row r="142" spans="5:11">
      <c r="E142" s="6"/>
      <c r="F142" s="6"/>
      <c r="G142" s="6"/>
      <c r="H142" s="6"/>
      <c r="I142" s="6"/>
      <c r="J142" s="6"/>
      <c r="K142" s="6"/>
    </row>
    <row r="143" spans="5:11">
      <c r="E143" s="6"/>
      <c r="F143" s="6"/>
      <c r="G143" s="6"/>
      <c r="H143" s="6"/>
      <c r="I143" s="6"/>
      <c r="J143" s="6"/>
      <c r="K143" s="6"/>
    </row>
    <row r="144" spans="5:11">
      <c r="E144" s="6"/>
      <c r="F144" s="6"/>
      <c r="G144" s="6"/>
      <c r="H144" s="6"/>
      <c r="I144" s="6"/>
      <c r="J144" s="6"/>
      <c r="K144" s="6"/>
    </row>
    <row r="145" spans="5:11">
      <c r="E145" s="6"/>
      <c r="F145" s="6"/>
      <c r="G145" s="6"/>
      <c r="H145" s="6"/>
      <c r="I145" s="6"/>
      <c r="J145" s="6"/>
      <c r="K145" s="6"/>
    </row>
    <row r="146" spans="5:11">
      <c r="E146" s="6"/>
      <c r="F146" s="6"/>
      <c r="G146" s="6"/>
      <c r="H146" s="6"/>
      <c r="I146" s="6"/>
      <c r="J146" s="6"/>
      <c r="K146" s="6"/>
    </row>
    <row r="147" spans="5:11">
      <c r="E147" s="6"/>
      <c r="F147" s="6"/>
      <c r="G147" s="6"/>
      <c r="H147" s="6"/>
      <c r="I147" s="6"/>
      <c r="J147" s="6"/>
      <c r="K147" s="6"/>
    </row>
    <row r="148" spans="5:11">
      <c r="E148" s="6"/>
      <c r="F148" s="6"/>
      <c r="G148" s="6"/>
      <c r="H148" s="6"/>
      <c r="I148" s="6"/>
      <c r="J148" s="6"/>
      <c r="K148" s="6"/>
    </row>
    <row r="149" spans="5:11">
      <c r="E149" s="6"/>
      <c r="F149" s="6"/>
      <c r="G149" s="6"/>
      <c r="H149" s="6"/>
      <c r="I149" s="6"/>
      <c r="J149" s="6"/>
      <c r="K149" s="6"/>
    </row>
    <row r="150" spans="5:11">
      <c r="E150" s="6"/>
      <c r="F150" s="6"/>
      <c r="G150" s="6"/>
      <c r="H150" s="6"/>
      <c r="I150" s="6"/>
      <c r="J150" s="6"/>
      <c r="K150" s="6"/>
    </row>
    <row r="151" spans="5:11">
      <c r="E151" s="6"/>
      <c r="F151" s="6"/>
      <c r="G151" s="6"/>
      <c r="H151" s="6"/>
      <c r="I151" s="6"/>
      <c r="J151" s="6"/>
      <c r="K151" s="6"/>
    </row>
    <row r="152" spans="5:11">
      <c r="E152" s="6"/>
      <c r="F152" s="6"/>
      <c r="G152" s="6"/>
      <c r="H152" s="6"/>
      <c r="I152" s="6"/>
      <c r="J152" s="6"/>
      <c r="K152" s="6"/>
    </row>
    <row r="153" spans="5:11">
      <c r="E153" s="6"/>
      <c r="F153" s="6"/>
      <c r="G153" s="6"/>
      <c r="H153" s="6"/>
      <c r="I153" s="6"/>
      <c r="J153" s="6"/>
      <c r="K153" s="6"/>
    </row>
    <row r="154" spans="5:11">
      <c r="E154" s="6"/>
      <c r="F154" s="6"/>
      <c r="G154" s="6"/>
      <c r="H154" s="6"/>
      <c r="I154" s="6"/>
      <c r="J154" s="6"/>
      <c r="K154" s="6"/>
    </row>
    <row r="155" spans="5:11">
      <c r="E155" s="6"/>
      <c r="F155" s="6"/>
      <c r="G155" s="6"/>
      <c r="H155" s="6"/>
      <c r="I155" s="6"/>
      <c r="J155" s="6"/>
      <c r="K155" s="6"/>
    </row>
    <row r="156" spans="5:11">
      <c r="E156" s="6"/>
      <c r="F156" s="6"/>
      <c r="G156" s="6"/>
      <c r="H156" s="6"/>
      <c r="I156" s="6"/>
      <c r="J156" s="6"/>
      <c r="K156" s="6"/>
    </row>
    <row r="157" spans="5:11">
      <c r="E157" s="6"/>
      <c r="F157" s="6"/>
      <c r="G157" s="6"/>
      <c r="H157" s="6"/>
      <c r="I157" s="6"/>
      <c r="J157" s="6"/>
      <c r="K157" s="6"/>
    </row>
    <row r="158" spans="5:11">
      <c r="E158" s="6"/>
      <c r="F158" s="6"/>
      <c r="G158" s="6"/>
      <c r="H158" s="6"/>
      <c r="I158" s="6"/>
      <c r="J158" s="6"/>
      <c r="K158" s="6"/>
    </row>
    <row r="159" spans="5:11">
      <c r="E159" s="6"/>
      <c r="F159" s="6"/>
      <c r="G159" s="6"/>
      <c r="H159" s="6"/>
      <c r="I159" s="6"/>
      <c r="J159" s="6"/>
      <c r="K159" s="6"/>
    </row>
    <row r="160" spans="5:11">
      <c r="E160" s="6"/>
      <c r="F160" s="6"/>
      <c r="G160" s="6"/>
      <c r="H160" s="6"/>
      <c r="I160" s="6"/>
      <c r="J160" s="6"/>
      <c r="K160" s="6"/>
    </row>
    <row r="161" spans="5:11">
      <c r="E161" s="6"/>
      <c r="F161" s="6"/>
      <c r="G161" s="6"/>
      <c r="H161" s="6"/>
      <c r="I161" s="6"/>
      <c r="J161" s="6"/>
      <c r="K161" s="6"/>
    </row>
    <row r="162" spans="5:11">
      <c r="E162" s="6"/>
      <c r="F162" s="6"/>
      <c r="G162" s="6"/>
      <c r="H162" s="6"/>
      <c r="I162" s="6"/>
      <c r="J162" s="6"/>
      <c r="K162" s="6"/>
    </row>
    <row r="163" spans="5:11">
      <c r="E163" s="6"/>
      <c r="F163" s="6"/>
      <c r="G163" s="6"/>
      <c r="H163" s="6"/>
      <c r="I163" s="6"/>
      <c r="J163" s="6"/>
      <c r="K163" s="6"/>
    </row>
    <row r="164" spans="5:11">
      <c r="E164" s="6"/>
      <c r="F164" s="6"/>
      <c r="G164" s="6"/>
      <c r="H164" s="6"/>
      <c r="I164" s="6"/>
      <c r="J164" s="6"/>
      <c r="K164" s="6"/>
    </row>
    <row r="165" spans="5:11">
      <c r="E165" s="6"/>
      <c r="F165" s="6"/>
      <c r="G165" s="6"/>
      <c r="H165" s="6"/>
      <c r="I165" s="6"/>
      <c r="J165" s="6"/>
      <c r="K165" s="6"/>
    </row>
    <row r="166" spans="5:11">
      <c r="E166" s="6"/>
      <c r="F166" s="6"/>
      <c r="G166" s="6"/>
      <c r="H166" s="6"/>
      <c r="I166" s="6"/>
      <c r="J166" s="6"/>
      <c r="K166" s="6"/>
    </row>
    <row r="167" spans="5:11">
      <c r="E167" s="6"/>
      <c r="F167" s="6"/>
      <c r="G167" s="6"/>
      <c r="H167" s="6"/>
      <c r="I167" s="6"/>
      <c r="J167" s="6"/>
      <c r="K167" s="6"/>
    </row>
    <row r="168" spans="5:11">
      <c r="E168" s="6"/>
      <c r="F168" s="6"/>
      <c r="G168" s="6"/>
      <c r="H168" s="6"/>
      <c r="I168" s="6"/>
      <c r="J168" s="6"/>
      <c r="K168" s="6"/>
    </row>
    <row r="169" spans="5:11">
      <c r="E169" s="6"/>
      <c r="F169" s="6"/>
      <c r="G169" s="6"/>
      <c r="H169" s="6"/>
      <c r="I169" s="6"/>
      <c r="J169" s="6"/>
      <c r="K169" s="6"/>
    </row>
    <row r="170" spans="5:11">
      <c r="E170" s="6"/>
      <c r="F170" s="6"/>
      <c r="G170" s="6"/>
      <c r="H170" s="6"/>
      <c r="I170" s="6"/>
      <c r="J170" s="6"/>
      <c r="K170" s="6"/>
    </row>
    <row r="171" spans="5:11">
      <c r="E171" s="6"/>
      <c r="F171" s="6"/>
      <c r="G171" s="6"/>
      <c r="H171" s="6"/>
      <c r="I171" s="6"/>
      <c r="J171" s="6"/>
      <c r="K171" s="6"/>
    </row>
    <row r="172" spans="5:11">
      <c r="E172" s="6"/>
      <c r="F172" s="6"/>
      <c r="G172" s="6"/>
      <c r="H172" s="6"/>
      <c r="I172" s="6"/>
      <c r="J172" s="6"/>
      <c r="K172" s="6"/>
    </row>
    <row r="173" spans="5:11">
      <c r="E173" s="6"/>
      <c r="F173" s="6"/>
      <c r="G173" s="6"/>
      <c r="H173" s="6"/>
      <c r="I173" s="6"/>
      <c r="J173" s="6"/>
      <c r="K173" s="6"/>
    </row>
    <row r="174" spans="5:11">
      <c r="E174" s="6"/>
      <c r="F174" s="6"/>
      <c r="G174" s="6"/>
      <c r="H174" s="6"/>
      <c r="I174" s="6"/>
      <c r="J174" s="6"/>
      <c r="K174" s="6"/>
    </row>
    <row r="175" spans="5:11">
      <c r="E175" s="6"/>
      <c r="F175" s="6"/>
      <c r="G175" s="6"/>
      <c r="H175" s="6"/>
      <c r="I175" s="6"/>
      <c r="J175" s="6"/>
      <c r="K175" s="6"/>
    </row>
    <row r="176" spans="5:11">
      <c r="E176" s="6"/>
      <c r="F176" s="6"/>
      <c r="G176" s="6"/>
      <c r="H176" s="6"/>
      <c r="I176" s="6"/>
      <c r="J176" s="6"/>
      <c r="K176" s="6"/>
    </row>
    <row r="177" spans="5:11">
      <c r="E177" s="6"/>
      <c r="F177" s="6"/>
      <c r="G177" s="6"/>
      <c r="H177" s="6"/>
      <c r="I177" s="6"/>
      <c r="J177" s="6"/>
      <c r="K177" s="6"/>
    </row>
    <row r="178" spans="5:11">
      <c r="E178" s="6"/>
      <c r="F178" s="6"/>
      <c r="G178" s="6"/>
      <c r="H178" s="6"/>
      <c r="I178" s="6"/>
      <c r="J178" s="6"/>
      <c r="K178" s="6"/>
    </row>
    <row r="179" spans="5:11">
      <c r="E179" s="6"/>
      <c r="F179" s="6"/>
      <c r="G179" s="6"/>
      <c r="H179" s="6"/>
      <c r="I179" s="6"/>
      <c r="J179" s="6"/>
      <c r="K179" s="6"/>
    </row>
    <row r="180" spans="5:11">
      <c r="E180" s="6"/>
      <c r="F180" s="6"/>
      <c r="G180" s="6"/>
      <c r="H180" s="6"/>
      <c r="I180" s="6"/>
      <c r="J180" s="6"/>
      <c r="K180" s="6"/>
    </row>
    <row r="181" spans="5:11">
      <c r="E181" s="6"/>
      <c r="F181" s="6"/>
      <c r="G181" s="6"/>
      <c r="H181" s="6"/>
      <c r="I181" s="6"/>
      <c r="J181" s="6"/>
      <c r="K181" s="6"/>
    </row>
    <row r="182" spans="5:11">
      <c r="E182" s="6"/>
      <c r="F182" s="6"/>
      <c r="G182" s="6"/>
      <c r="H182" s="6"/>
      <c r="I182" s="6"/>
      <c r="J182" s="6"/>
      <c r="K182" s="6"/>
    </row>
    <row r="183" spans="5:11">
      <c r="E183" s="6"/>
      <c r="F183" s="6"/>
      <c r="G183" s="6"/>
      <c r="H183" s="6"/>
      <c r="I183" s="6"/>
      <c r="J183" s="6"/>
      <c r="K183" s="6"/>
    </row>
    <row r="184" spans="5:11">
      <c r="E184" s="6"/>
      <c r="F184" s="6"/>
      <c r="G184" s="6"/>
      <c r="H184" s="6"/>
      <c r="I184" s="6"/>
      <c r="J184" s="6"/>
      <c r="K184" s="6"/>
    </row>
    <row r="185" spans="5:11">
      <c r="E185" s="6"/>
      <c r="F185" s="6"/>
      <c r="G185" s="6"/>
      <c r="H185" s="6"/>
      <c r="I185" s="6"/>
      <c r="J185" s="6"/>
      <c r="K185" s="6"/>
    </row>
    <row r="186" spans="5:11">
      <c r="E186" s="6"/>
      <c r="F186" s="6"/>
      <c r="G186" s="6"/>
      <c r="H186" s="6"/>
      <c r="I186" s="6"/>
      <c r="J186" s="6"/>
      <c r="K186" s="6"/>
    </row>
    <row r="187" spans="5:11">
      <c r="E187" s="6"/>
      <c r="F187" s="6"/>
      <c r="G187" s="6"/>
      <c r="H187" s="6"/>
      <c r="I187" s="6"/>
      <c r="J187" s="6"/>
      <c r="K187" s="6"/>
    </row>
    <row r="188" spans="5:11">
      <c r="E188" s="6"/>
      <c r="F188" s="6"/>
      <c r="G188" s="6"/>
      <c r="H188" s="6"/>
      <c r="I188" s="6"/>
      <c r="J188" s="6"/>
      <c r="K188" s="6"/>
    </row>
    <row r="189" spans="5:11">
      <c r="E189" s="6"/>
      <c r="F189" s="6"/>
      <c r="G189" s="6"/>
      <c r="H189" s="6"/>
      <c r="I189" s="6"/>
      <c r="J189" s="6"/>
      <c r="K189" s="6"/>
    </row>
    <row r="190" spans="5:11">
      <c r="E190" s="6"/>
      <c r="F190" s="6"/>
      <c r="G190" s="6"/>
      <c r="H190" s="6"/>
      <c r="I190" s="6"/>
      <c r="J190" s="6"/>
      <c r="K190" s="6"/>
    </row>
    <row r="191" spans="5:11">
      <c r="E191" s="6"/>
      <c r="F191" s="6"/>
      <c r="G191" s="6"/>
      <c r="H191" s="6"/>
      <c r="I191" s="6"/>
      <c r="J191" s="6"/>
      <c r="K191" s="6"/>
    </row>
    <row r="192" spans="5:11">
      <c r="E192" s="6"/>
      <c r="F192" s="6"/>
      <c r="G192" s="6"/>
      <c r="H192" s="6"/>
      <c r="I192" s="6"/>
      <c r="J192" s="6"/>
      <c r="K192" s="6"/>
    </row>
    <row r="193" spans="5:11">
      <c r="E193" s="6"/>
      <c r="F193" s="6"/>
      <c r="G193" s="6"/>
      <c r="H193" s="6"/>
      <c r="I193" s="6"/>
      <c r="J193" s="6"/>
      <c r="K193" s="6"/>
    </row>
    <row r="194" spans="5:11">
      <c r="E194" s="6"/>
      <c r="F194" s="6"/>
      <c r="G194" s="6"/>
      <c r="H194" s="6"/>
      <c r="I194" s="6"/>
      <c r="J194" s="6"/>
      <c r="K194" s="6"/>
    </row>
    <row r="195" spans="5:11">
      <c r="E195" s="6"/>
      <c r="F195" s="6"/>
      <c r="G195" s="6"/>
      <c r="H195" s="6"/>
      <c r="I195" s="6"/>
      <c r="J195" s="6"/>
      <c r="K195" s="6"/>
    </row>
    <row r="196" spans="5:11">
      <c r="E196" s="6"/>
      <c r="F196" s="6"/>
      <c r="G196" s="6"/>
      <c r="H196" s="6"/>
      <c r="I196" s="6"/>
      <c r="J196" s="6"/>
      <c r="K196" s="6"/>
    </row>
    <row r="197" spans="5:11">
      <c r="E197" s="6"/>
      <c r="F197" s="6"/>
      <c r="G197" s="6"/>
      <c r="H197" s="6"/>
      <c r="I197" s="6"/>
      <c r="J197" s="6"/>
      <c r="K197" s="6"/>
    </row>
    <row r="198" spans="5:11">
      <c r="E198" s="6"/>
      <c r="F198" s="6"/>
      <c r="G198" s="6"/>
      <c r="H198" s="6"/>
      <c r="I198" s="6"/>
      <c r="J198" s="6"/>
      <c r="K198" s="6"/>
    </row>
    <row r="199" spans="5:11">
      <c r="E199" s="6"/>
      <c r="F199" s="6"/>
      <c r="G199" s="6"/>
      <c r="H199" s="6"/>
      <c r="I199" s="6"/>
      <c r="J199" s="6"/>
      <c r="K199" s="6"/>
    </row>
    <row r="200" spans="5:11">
      <c r="E200" s="6"/>
      <c r="F200" s="6"/>
      <c r="G200" s="6"/>
      <c r="H200" s="6"/>
      <c r="I200" s="6"/>
      <c r="J200" s="6"/>
      <c r="K200" s="6"/>
    </row>
    <row r="201" spans="5:11">
      <c r="E201" s="6"/>
      <c r="F201" s="6"/>
      <c r="G201" s="6"/>
      <c r="H201" s="6"/>
      <c r="I201" s="6"/>
      <c r="J201" s="6"/>
      <c r="K201" s="6"/>
    </row>
    <row r="202" spans="5:11">
      <c r="E202" s="6"/>
      <c r="F202" s="6"/>
      <c r="G202" s="6"/>
      <c r="H202" s="6"/>
      <c r="I202" s="6"/>
      <c r="J202" s="6"/>
      <c r="K202" s="6"/>
    </row>
    <row r="203" spans="5:11">
      <c r="E203" s="6"/>
      <c r="F203" s="6"/>
      <c r="G203" s="6"/>
      <c r="H203" s="6"/>
      <c r="I203" s="6"/>
      <c r="J203" s="6"/>
      <c r="K203" s="6"/>
    </row>
    <row r="204" spans="5:11">
      <c r="E204" s="6"/>
      <c r="F204" s="6"/>
      <c r="G204" s="6"/>
      <c r="H204" s="6"/>
      <c r="I204" s="6"/>
      <c r="J204" s="6"/>
      <c r="K204" s="6"/>
    </row>
    <row r="205" spans="5:11">
      <c r="E205" s="6"/>
      <c r="F205" s="6"/>
      <c r="G205" s="6"/>
      <c r="H205" s="6"/>
      <c r="I205" s="6"/>
      <c r="J205" s="6"/>
      <c r="K205" s="6"/>
    </row>
    <row r="206" spans="5:11">
      <c r="E206" s="6"/>
      <c r="F206" s="6"/>
      <c r="G206" s="6"/>
      <c r="H206" s="6"/>
      <c r="I206" s="6"/>
      <c r="J206" s="6"/>
      <c r="K206" s="6"/>
    </row>
    <row r="207" spans="5:11">
      <c r="E207" s="6"/>
      <c r="F207" s="6"/>
      <c r="G207" s="6"/>
      <c r="H207" s="6"/>
      <c r="I207" s="6"/>
      <c r="J207" s="6"/>
      <c r="K207" s="6"/>
    </row>
    <row r="208" spans="5:11">
      <c r="E208" s="6"/>
      <c r="F208" s="6"/>
      <c r="G208" s="6"/>
      <c r="H208" s="6"/>
      <c r="I208" s="6"/>
      <c r="J208" s="6"/>
      <c r="K208" s="6"/>
    </row>
    <row r="209" spans="5:11">
      <c r="E209" s="6"/>
      <c r="F209" s="6"/>
      <c r="G209" s="6"/>
      <c r="H209" s="6"/>
      <c r="I209" s="6"/>
      <c r="J209" s="6"/>
      <c r="K209" s="6"/>
    </row>
    <row r="210" spans="5:11">
      <c r="E210" s="6"/>
      <c r="F210" s="6"/>
      <c r="G210" s="6"/>
      <c r="H210" s="6"/>
      <c r="I210" s="6"/>
      <c r="J210" s="6"/>
      <c r="K210" s="6"/>
    </row>
    <row r="211" spans="5:11">
      <c r="E211" s="6"/>
      <c r="F211" s="6"/>
      <c r="G211" s="6"/>
      <c r="H211" s="6"/>
      <c r="I211" s="6"/>
      <c r="J211" s="6"/>
      <c r="K211" s="6"/>
    </row>
    <row r="212" spans="5:11">
      <c r="E212" s="6"/>
      <c r="F212" s="6"/>
      <c r="G212" s="6"/>
      <c r="H212" s="6"/>
      <c r="I212" s="6"/>
      <c r="J212" s="6"/>
      <c r="K212" s="6"/>
    </row>
    <row r="213" spans="5:11">
      <c r="E213" s="6"/>
      <c r="F213" s="6"/>
      <c r="G213" s="6"/>
      <c r="H213" s="6"/>
      <c r="I213" s="6"/>
      <c r="J213" s="6"/>
      <c r="K213" s="6"/>
    </row>
    <row r="214" spans="5:11">
      <c r="E214" s="6"/>
      <c r="F214" s="6"/>
      <c r="G214" s="6"/>
      <c r="H214" s="6"/>
      <c r="I214" s="6"/>
      <c r="J214" s="6"/>
      <c r="K214" s="6"/>
    </row>
    <row r="215" spans="5:11">
      <c r="E215" s="6"/>
      <c r="F215" s="6"/>
      <c r="G215" s="6"/>
      <c r="H215" s="6"/>
      <c r="I215" s="6"/>
      <c r="J215" s="6"/>
      <c r="K215" s="6"/>
    </row>
    <row r="216" spans="5:11">
      <c r="E216" s="6"/>
      <c r="F216" s="6"/>
      <c r="G216" s="6"/>
      <c r="H216" s="6"/>
      <c r="I216" s="6"/>
      <c r="J216" s="6"/>
      <c r="K216" s="6"/>
    </row>
    <row r="217" spans="5:11">
      <c r="E217" s="6"/>
      <c r="F217" s="6"/>
      <c r="G217" s="6"/>
      <c r="H217" s="6"/>
      <c r="I217" s="6"/>
      <c r="J217" s="6"/>
      <c r="K217" s="6"/>
    </row>
    <row r="218" spans="5:11">
      <c r="E218" s="6"/>
      <c r="F218" s="6"/>
      <c r="G218" s="6"/>
      <c r="H218" s="6"/>
      <c r="I218" s="6"/>
      <c r="J218" s="6"/>
      <c r="K218" s="6"/>
    </row>
    <row r="219" spans="5:11">
      <c r="E219" s="6"/>
      <c r="F219" s="6"/>
      <c r="G219" s="6"/>
      <c r="H219" s="6"/>
      <c r="I219" s="6"/>
      <c r="J219" s="6"/>
      <c r="K219" s="6"/>
    </row>
    <row r="220" spans="5:11">
      <c r="E220" s="6"/>
      <c r="F220" s="6"/>
      <c r="G220" s="6"/>
      <c r="H220" s="6"/>
      <c r="I220" s="6"/>
      <c r="J220" s="6"/>
      <c r="K220" s="6"/>
    </row>
    <row r="221" spans="5:11">
      <c r="E221" s="6"/>
      <c r="F221" s="6"/>
      <c r="G221" s="6"/>
      <c r="H221" s="6"/>
      <c r="I221" s="6"/>
      <c r="J221" s="6"/>
      <c r="K221" s="6"/>
    </row>
    <row r="222" spans="5:11">
      <c r="E222" s="6"/>
      <c r="F222" s="6"/>
      <c r="G222" s="6"/>
      <c r="H222" s="6"/>
      <c r="I222" s="6"/>
      <c r="J222" s="6"/>
      <c r="K222" s="6"/>
    </row>
    <row r="223" spans="5:11">
      <c r="E223" s="6"/>
      <c r="F223" s="6"/>
      <c r="G223" s="6"/>
      <c r="H223" s="6"/>
      <c r="I223" s="6"/>
      <c r="J223" s="6"/>
      <c r="K223" s="6"/>
    </row>
    <row r="224" spans="5:11">
      <c r="E224" s="6"/>
      <c r="F224" s="6"/>
      <c r="G224" s="6"/>
      <c r="H224" s="6"/>
      <c r="I224" s="6"/>
      <c r="J224" s="6"/>
      <c r="K224" s="6"/>
    </row>
    <row r="225" spans="5:11">
      <c r="E225" s="6"/>
      <c r="F225" s="6"/>
      <c r="G225" s="6"/>
      <c r="H225" s="6"/>
      <c r="I225" s="6"/>
      <c r="J225" s="6"/>
      <c r="K225" s="6"/>
    </row>
    <row r="226" spans="5:11">
      <c r="E226" s="6"/>
      <c r="F226" s="6"/>
      <c r="G226" s="6"/>
      <c r="H226" s="6"/>
      <c r="I226" s="6"/>
      <c r="J226" s="6"/>
      <c r="K226" s="6"/>
    </row>
    <row r="227" spans="5:11">
      <c r="E227" s="6"/>
      <c r="F227" s="6"/>
      <c r="G227" s="6"/>
      <c r="H227" s="6"/>
      <c r="I227" s="6"/>
      <c r="J227" s="6"/>
      <c r="K227" s="6"/>
    </row>
    <row r="228" spans="5:11">
      <c r="E228" s="6"/>
      <c r="F228" s="6"/>
      <c r="G228" s="6"/>
      <c r="H228" s="6"/>
      <c r="I228" s="6"/>
      <c r="J228" s="6"/>
      <c r="K228" s="6"/>
    </row>
    <row r="229" spans="5:11">
      <c r="E229" s="6"/>
      <c r="F229" s="6"/>
      <c r="G229" s="6"/>
      <c r="H229" s="6"/>
      <c r="I229" s="6"/>
      <c r="J229" s="6"/>
      <c r="K229" s="6"/>
    </row>
    <row r="230" spans="5:11">
      <c r="E230" s="6"/>
      <c r="F230" s="6"/>
      <c r="G230" s="6"/>
      <c r="H230" s="6"/>
      <c r="I230" s="6"/>
      <c r="J230" s="6"/>
      <c r="K230" s="6"/>
    </row>
    <row r="231" spans="5:11">
      <c r="E231" s="6"/>
      <c r="F231" s="6"/>
      <c r="G231" s="6"/>
      <c r="H231" s="6"/>
      <c r="I231" s="6"/>
      <c r="J231" s="6"/>
      <c r="K231" s="6"/>
    </row>
    <row r="232" spans="5:11">
      <c r="E232" s="6"/>
      <c r="F232" s="6"/>
      <c r="G232" s="6"/>
      <c r="H232" s="6"/>
      <c r="I232" s="6"/>
      <c r="J232" s="6"/>
      <c r="K232" s="6"/>
    </row>
    <row r="233" spans="5:11">
      <c r="E233" s="6"/>
      <c r="F233" s="6"/>
      <c r="G233" s="6"/>
      <c r="H233" s="6"/>
      <c r="I233" s="6"/>
      <c r="J233" s="6"/>
      <c r="K233" s="6"/>
    </row>
    <row r="234" spans="5:11">
      <c r="E234" s="6"/>
      <c r="F234" s="6"/>
      <c r="G234" s="6"/>
      <c r="H234" s="6"/>
      <c r="I234" s="6"/>
      <c r="J234" s="6"/>
      <c r="K234" s="6"/>
    </row>
    <row r="235" spans="5:11">
      <c r="E235" s="6"/>
      <c r="F235" s="6"/>
      <c r="G235" s="6"/>
      <c r="H235" s="6"/>
      <c r="I235" s="6"/>
      <c r="J235" s="6"/>
      <c r="K235" s="6"/>
    </row>
    <row r="236" spans="5:11">
      <c r="E236" s="6"/>
      <c r="F236" s="6"/>
      <c r="G236" s="6"/>
      <c r="H236" s="6"/>
      <c r="I236" s="6"/>
      <c r="J236" s="6"/>
      <c r="K236" s="6"/>
    </row>
    <row r="237" spans="5:11">
      <c r="E237" s="6"/>
      <c r="F237" s="6"/>
      <c r="G237" s="6"/>
      <c r="H237" s="6"/>
      <c r="I237" s="6"/>
      <c r="J237" s="6"/>
      <c r="K237" s="6"/>
    </row>
    <row r="238" spans="5:11">
      <c r="E238" s="6"/>
      <c r="F238" s="6"/>
      <c r="G238" s="6"/>
      <c r="H238" s="6"/>
      <c r="I238" s="6"/>
      <c r="J238" s="6"/>
      <c r="K238" s="6"/>
    </row>
    <row r="239" spans="5:11">
      <c r="E239" s="6"/>
      <c r="F239" s="6"/>
      <c r="G239" s="6"/>
      <c r="H239" s="6"/>
      <c r="I239" s="6"/>
      <c r="J239" s="6"/>
      <c r="K239" s="6"/>
    </row>
    <row r="240" spans="5:11">
      <c r="E240" s="6"/>
      <c r="F240" s="6"/>
      <c r="G240" s="6"/>
      <c r="H240" s="6"/>
      <c r="I240" s="6"/>
      <c r="J240" s="6"/>
      <c r="K240" s="6"/>
    </row>
    <row r="241" spans="5:11">
      <c r="E241" s="6"/>
      <c r="F241" s="6"/>
      <c r="G241" s="6"/>
      <c r="H241" s="6"/>
      <c r="I241" s="6"/>
      <c r="J241" s="6"/>
      <c r="K241" s="6"/>
    </row>
    <row r="242" spans="5:11">
      <c r="E242" s="6"/>
      <c r="F242" s="6"/>
      <c r="G242" s="6"/>
      <c r="H242" s="6"/>
      <c r="I242" s="6"/>
      <c r="J242" s="6"/>
      <c r="K242" s="6"/>
    </row>
    <row r="243" spans="5:11">
      <c r="E243" s="6"/>
      <c r="F243" s="6"/>
      <c r="G243" s="6"/>
      <c r="H243" s="6"/>
      <c r="I243" s="6"/>
      <c r="J243" s="6"/>
      <c r="K243" s="6"/>
    </row>
    <row r="244" spans="5:11">
      <c r="E244" s="6"/>
      <c r="F244" s="6"/>
      <c r="G244" s="6"/>
      <c r="H244" s="6"/>
      <c r="I244" s="6"/>
      <c r="J244" s="6"/>
      <c r="K244" s="6"/>
    </row>
    <row r="245" spans="5:11">
      <c r="E245" s="6"/>
      <c r="F245" s="6"/>
      <c r="G245" s="6"/>
      <c r="H245" s="6"/>
      <c r="I245" s="6"/>
      <c r="J245" s="6"/>
      <c r="K245" s="6"/>
    </row>
    <row r="246" spans="5:11">
      <c r="E246" s="6"/>
      <c r="F246" s="6"/>
      <c r="G246" s="6"/>
      <c r="H246" s="6"/>
      <c r="I246" s="6"/>
      <c r="J246" s="6"/>
      <c r="K246" s="6"/>
    </row>
    <row r="247" spans="5:11">
      <c r="E247" s="6"/>
      <c r="F247" s="6"/>
      <c r="G247" s="6"/>
      <c r="H247" s="6"/>
      <c r="I247" s="6"/>
      <c r="J247" s="6"/>
      <c r="K247" s="6"/>
    </row>
    <row r="248" spans="5:11">
      <c r="E248" s="6"/>
      <c r="F248" s="6"/>
      <c r="G248" s="6"/>
      <c r="H248" s="6"/>
      <c r="I248" s="6"/>
      <c r="J248" s="6"/>
      <c r="K248" s="6"/>
    </row>
    <row r="249" spans="5:11">
      <c r="E249" s="6"/>
      <c r="F249" s="6"/>
      <c r="G249" s="6"/>
      <c r="H249" s="6"/>
      <c r="I249" s="6"/>
      <c r="J249" s="6"/>
      <c r="K249" s="6"/>
    </row>
    <row r="250" spans="5:11">
      <c r="E250" s="6"/>
      <c r="F250" s="6"/>
      <c r="G250" s="6"/>
      <c r="H250" s="6"/>
      <c r="I250" s="6"/>
      <c r="J250" s="6"/>
      <c r="K250" s="6"/>
    </row>
    <row r="251" spans="5:11">
      <c r="E251" s="6"/>
      <c r="F251" s="6"/>
      <c r="G251" s="6"/>
      <c r="H251" s="6"/>
      <c r="I251" s="6"/>
      <c r="J251" s="6"/>
      <c r="K251" s="6"/>
    </row>
    <row r="252" spans="5:11">
      <c r="E252" s="6"/>
      <c r="F252" s="6"/>
      <c r="G252" s="6"/>
      <c r="H252" s="6"/>
      <c r="I252" s="6"/>
      <c r="J252" s="6"/>
      <c r="K252" s="6"/>
    </row>
    <row r="253" spans="5:11">
      <c r="E253" s="6"/>
      <c r="F253" s="6"/>
      <c r="G253" s="6"/>
      <c r="H253" s="6"/>
      <c r="I253" s="6"/>
      <c r="J253" s="6"/>
      <c r="K253" s="6"/>
    </row>
    <row r="254" spans="5:11">
      <c r="E254" s="6"/>
      <c r="F254" s="6"/>
      <c r="G254" s="6"/>
      <c r="H254" s="6"/>
      <c r="I254" s="6"/>
      <c r="J254" s="6"/>
      <c r="K254" s="6"/>
    </row>
    <row r="255" spans="5:11">
      <c r="E255" s="6"/>
      <c r="F255" s="6"/>
      <c r="G255" s="6"/>
      <c r="H255" s="6"/>
      <c r="I255" s="6"/>
      <c r="J255" s="6"/>
      <c r="K255" s="6"/>
    </row>
    <row r="256" spans="5:11">
      <c r="E256" s="6"/>
      <c r="F256" s="6"/>
      <c r="G256" s="6"/>
      <c r="H256" s="6"/>
      <c r="I256" s="6"/>
      <c r="J256" s="6"/>
      <c r="K256" s="6"/>
    </row>
    <row r="257" spans="5:11">
      <c r="E257" s="6"/>
      <c r="F257" s="6"/>
      <c r="G257" s="6"/>
      <c r="H257" s="6"/>
      <c r="I257" s="6"/>
      <c r="J257" s="6"/>
      <c r="K257" s="6"/>
    </row>
    <row r="258" spans="5:11">
      <c r="E258" s="6"/>
      <c r="F258" s="6"/>
      <c r="G258" s="6"/>
      <c r="H258" s="6"/>
      <c r="I258" s="6"/>
      <c r="J258" s="6"/>
      <c r="K258" s="6"/>
    </row>
    <row r="259" spans="5:11">
      <c r="E259" s="6"/>
      <c r="F259" s="6"/>
      <c r="G259" s="6"/>
      <c r="H259" s="6"/>
      <c r="I259" s="6"/>
      <c r="J259" s="6"/>
      <c r="K259" s="6"/>
    </row>
    <row r="260" spans="5:11">
      <c r="E260" s="6"/>
      <c r="F260" s="6"/>
      <c r="G260" s="6"/>
      <c r="H260" s="6"/>
      <c r="I260" s="6"/>
      <c r="J260" s="6"/>
      <c r="K260" s="6"/>
    </row>
    <row r="261" spans="5:11">
      <c r="E261" s="6"/>
      <c r="F261" s="6"/>
      <c r="G261" s="6"/>
      <c r="H261" s="6"/>
      <c r="I261" s="6"/>
      <c r="J261" s="6"/>
      <c r="K261" s="6"/>
    </row>
    <row r="262" spans="5:11">
      <c r="E262" s="6"/>
      <c r="F262" s="6"/>
      <c r="G262" s="6"/>
      <c r="H262" s="6"/>
      <c r="I262" s="6"/>
      <c r="J262" s="6"/>
      <c r="K262" s="6"/>
    </row>
    <row r="263" spans="5:11">
      <c r="E263" s="6"/>
      <c r="F263" s="6"/>
      <c r="G263" s="6"/>
      <c r="H263" s="6"/>
      <c r="I263" s="6"/>
      <c r="J263" s="6"/>
      <c r="K263" s="6"/>
    </row>
    <row r="264" spans="5:11">
      <c r="E264" s="6"/>
      <c r="F264" s="6"/>
      <c r="G264" s="6"/>
      <c r="H264" s="6"/>
      <c r="I264" s="6"/>
      <c r="J264" s="6"/>
      <c r="K264" s="6"/>
    </row>
    <row r="265" spans="5:11">
      <c r="E265" s="6"/>
      <c r="F265" s="6"/>
      <c r="G265" s="6"/>
      <c r="H265" s="6"/>
      <c r="I265" s="6"/>
      <c r="J265" s="6"/>
      <c r="K265" s="6"/>
    </row>
    <row r="266" spans="5:11">
      <c r="E266" s="6"/>
      <c r="F266" s="6"/>
      <c r="G266" s="6"/>
      <c r="H266" s="6"/>
      <c r="I266" s="6"/>
      <c r="J266" s="6"/>
      <c r="K266" s="6"/>
    </row>
    <row r="267" spans="5:11">
      <c r="E267" s="6"/>
      <c r="F267" s="6"/>
      <c r="G267" s="6"/>
      <c r="H267" s="6"/>
      <c r="I267" s="6"/>
      <c r="J267" s="6"/>
      <c r="K267" s="6"/>
    </row>
    <row r="268" spans="5:11">
      <c r="E268" s="6"/>
      <c r="F268" s="6"/>
      <c r="G268" s="6"/>
      <c r="H268" s="6"/>
      <c r="I268" s="6"/>
      <c r="J268" s="6"/>
      <c r="K268" s="6"/>
    </row>
    <row r="269" spans="5:11">
      <c r="E269" s="6"/>
      <c r="F269" s="6"/>
      <c r="G269" s="6"/>
      <c r="H269" s="6"/>
      <c r="I269" s="6"/>
      <c r="J269" s="6"/>
      <c r="K269" s="6"/>
    </row>
    <row r="270" spans="5:11">
      <c r="E270" s="6"/>
      <c r="F270" s="6"/>
      <c r="G270" s="6"/>
      <c r="H270" s="6"/>
      <c r="I270" s="6"/>
      <c r="J270" s="6"/>
      <c r="K270" s="6"/>
    </row>
    <row r="271" spans="5:11">
      <c r="E271" s="6"/>
      <c r="F271" s="6"/>
      <c r="G271" s="6"/>
      <c r="H271" s="6"/>
      <c r="I271" s="6"/>
      <c r="J271" s="6"/>
      <c r="K271" s="6"/>
    </row>
    <row r="272" spans="5:11">
      <c r="E272" s="6"/>
      <c r="F272" s="6"/>
      <c r="G272" s="6"/>
      <c r="H272" s="6"/>
      <c r="I272" s="6"/>
      <c r="J272" s="6"/>
      <c r="K272" s="6"/>
    </row>
    <row r="273" spans="5:11">
      <c r="E273" s="6"/>
      <c r="F273" s="6"/>
      <c r="G273" s="6"/>
      <c r="H273" s="6"/>
      <c r="I273" s="6"/>
      <c r="J273" s="6"/>
      <c r="K273" s="6"/>
    </row>
    <row r="274" spans="5:11">
      <c r="E274" s="6"/>
      <c r="F274" s="6"/>
      <c r="G274" s="6"/>
      <c r="H274" s="6"/>
      <c r="I274" s="6"/>
      <c r="J274" s="6"/>
      <c r="K274" s="6"/>
    </row>
    <row r="275" spans="5:11">
      <c r="E275" s="6"/>
      <c r="F275" s="6"/>
      <c r="G275" s="6"/>
      <c r="H275" s="6"/>
      <c r="I275" s="6"/>
      <c r="J275" s="6"/>
      <c r="K275" s="6"/>
    </row>
    <row r="276" spans="5:11">
      <c r="E276" s="6"/>
      <c r="F276" s="6"/>
      <c r="G276" s="6"/>
      <c r="H276" s="6"/>
      <c r="I276" s="6"/>
      <c r="J276" s="6"/>
      <c r="K276" s="6"/>
    </row>
    <row r="277" spans="5:11">
      <c r="E277" s="6"/>
      <c r="F277" s="6"/>
      <c r="G277" s="6"/>
      <c r="H277" s="6"/>
      <c r="I277" s="6"/>
      <c r="J277" s="6"/>
      <c r="K277" s="6"/>
    </row>
    <row r="278" spans="5:11">
      <c r="E278" s="6"/>
      <c r="F278" s="6"/>
      <c r="G278" s="6"/>
      <c r="H278" s="6"/>
      <c r="I278" s="6"/>
      <c r="J278" s="6"/>
      <c r="K278" s="6"/>
    </row>
    <row r="279" spans="5:11">
      <c r="E279" s="6"/>
      <c r="F279" s="6"/>
      <c r="G279" s="6"/>
      <c r="H279" s="6"/>
      <c r="I279" s="6"/>
      <c r="J279" s="6"/>
      <c r="K279" s="6"/>
    </row>
    <row r="280" spans="5:11">
      <c r="E280" s="6"/>
      <c r="F280" s="6"/>
      <c r="G280" s="6"/>
      <c r="H280" s="6"/>
      <c r="I280" s="6"/>
      <c r="J280" s="6"/>
      <c r="K280" s="6"/>
    </row>
    <row r="281" spans="5:11">
      <c r="E281" s="6"/>
      <c r="F281" s="6"/>
      <c r="G281" s="6"/>
      <c r="H281" s="6"/>
      <c r="I281" s="6"/>
      <c r="J281" s="6"/>
      <c r="K281" s="6"/>
    </row>
    <row r="282" spans="5:11">
      <c r="E282" s="6"/>
      <c r="F282" s="6"/>
      <c r="G282" s="6"/>
      <c r="H282" s="6"/>
      <c r="I282" s="6"/>
      <c r="J282" s="6"/>
      <c r="K282" s="6"/>
    </row>
    <row r="283" spans="5:11">
      <c r="E283" s="6"/>
      <c r="F283" s="6"/>
      <c r="G283" s="6"/>
      <c r="H283" s="6"/>
      <c r="I283" s="6"/>
      <c r="J283" s="6"/>
      <c r="K283" s="6"/>
    </row>
    <row r="284" spans="5:11">
      <c r="E284" s="6"/>
      <c r="F284" s="6"/>
      <c r="G284" s="6"/>
      <c r="H284" s="6"/>
      <c r="I284" s="6"/>
      <c r="J284" s="6"/>
      <c r="K284" s="6"/>
    </row>
    <row r="285" spans="5:11">
      <c r="E285" s="6"/>
      <c r="F285" s="6"/>
      <c r="G285" s="6"/>
      <c r="H285" s="6"/>
      <c r="I285" s="6"/>
      <c r="J285" s="6"/>
      <c r="K285" s="6"/>
    </row>
    <row r="286" spans="5:11">
      <c r="E286" s="6"/>
      <c r="F286" s="6"/>
      <c r="G286" s="6"/>
      <c r="H286" s="6"/>
      <c r="I286" s="6"/>
      <c r="J286" s="6"/>
      <c r="K286" s="6"/>
    </row>
    <row r="287" spans="5:11">
      <c r="E287" s="6"/>
      <c r="F287" s="6"/>
      <c r="G287" s="6"/>
      <c r="H287" s="6"/>
      <c r="I287" s="6"/>
      <c r="J287" s="6"/>
      <c r="K287" s="6"/>
    </row>
    <row r="288" spans="5:11">
      <c r="E288" s="6"/>
      <c r="F288" s="6"/>
      <c r="G288" s="6"/>
      <c r="H288" s="6"/>
      <c r="I288" s="6"/>
      <c r="J288" s="6"/>
      <c r="K288" s="6"/>
    </row>
    <row r="289" spans="5:11">
      <c r="E289" s="6"/>
      <c r="F289" s="6"/>
      <c r="G289" s="6"/>
      <c r="H289" s="6"/>
      <c r="I289" s="6"/>
      <c r="J289" s="6"/>
      <c r="K289" s="6"/>
    </row>
    <row r="290" spans="5:11">
      <c r="E290" s="6"/>
      <c r="F290" s="6"/>
      <c r="G290" s="6"/>
      <c r="H290" s="6"/>
      <c r="I290" s="6"/>
      <c r="J290" s="6"/>
      <c r="K290" s="6"/>
    </row>
    <row r="291" spans="5:11">
      <c r="E291" s="6"/>
      <c r="F291" s="6"/>
      <c r="G291" s="6"/>
      <c r="H291" s="6"/>
      <c r="I291" s="6"/>
      <c r="J291" s="6"/>
      <c r="K291" s="6"/>
    </row>
    <row r="292" spans="5:11">
      <c r="E292" s="6"/>
      <c r="F292" s="6"/>
      <c r="G292" s="6"/>
      <c r="H292" s="6"/>
      <c r="I292" s="6"/>
      <c r="J292" s="6"/>
      <c r="K292" s="6"/>
    </row>
    <row r="293" spans="5:11">
      <c r="E293" s="6"/>
      <c r="F293" s="6"/>
      <c r="G293" s="6"/>
      <c r="H293" s="6"/>
      <c r="I293" s="6"/>
      <c r="J293" s="6"/>
      <c r="K293" s="6"/>
    </row>
    <row r="294" spans="5:11">
      <c r="E294" s="6"/>
      <c r="F294" s="6"/>
      <c r="G294" s="6"/>
      <c r="H294" s="6"/>
      <c r="I294" s="6"/>
      <c r="J294" s="6"/>
      <c r="K294" s="6"/>
    </row>
    <row r="295" spans="5:11">
      <c r="E295" s="6"/>
      <c r="F295" s="6"/>
      <c r="G295" s="6"/>
      <c r="H295" s="6"/>
      <c r="I295" s="6"/>
      <c r="J295" s="6"/>
      <c r="K295" s="6"/>
    </row>
    <row r="296" spans="5:11">
      <c r="E296" s="6"/>
      <c r="F296" s="6"/>
      <c r="G296" s="6"/>
      <c r="H296" s="6"/>
      <c r="I296" s="6"/>
      <c r="J296" s="6"/>
      <c r="K296" s="6"/>
    </row>
    <row r="297" spans="5:11">
      <c r="E297" s="6"/>
      <c r="F297" s="6"/>
      <c r="G297" s="6"/>
      <c r="H297" s="6"/>
      <c r="I297" s="6"/>
      <c r="J297" s="6"/>
      <c r="K297" s="6"/>
    </row>
    <row r="298" spans="5:11">
      <c r="E298" s="6"/>
      <c r="F298" s="6"/>
      <c r="G298" s="6"/>
      <c r="H298" s="6"/>
      <c r="I298" s="6"/>
      <c r="J298" s="6"/>
      <c r="K298" s="6"/>
    </row>
    <row r="299" spans="5:11">
      <c r="E299" s="6"/>
      <c r="F299" s="6"/>
      <c r="G299" s="6"/>
      <c r="H299" s="6"/>
      <c r="I299" s="6"/>
      <c r="J299" s="6"/>
      <c r="K299" s="6"/>
    </row>
    <row r="300" spans="5:11">
      <c r="E300" s="6"/>
      <c r="F300" s="6"/>
      <c r="G300" s="6"/>
      <c r="H300" s="6"/>
      <c r="I300" s="6"/>
      <c r="J300" s="6"/>
      <c r="K300" s="6"/>
    </row>
    <row r="301" spans="5:11">
      <c r="E301" s="6"/>
      <c r="F301" s="6"/>
      <c r="G301" s="6"/>
      <c r="H301" s="6"/>
      <c r="I301" s="6"/>
      <c r="J301" s="6"/>
      <c r="K301" s="6"/>
    </row>
    <row r="302" spans="5:11">
      <c r="E302" s="6"/>
      <c r="F302" s="6"/>
      <c r="G302" s="6"/>
      <c r="H302" s="6"/>
      <c r="I302" s="6"/>
      <c r="J302" s="6"/>
      <c r="K302" s="6"/>
    </row>
    <row r="303" spans="5:11">
      <c r="E303" s="6"/>
      <c r="F303" s="6"/>
      <c r="G303" s="6"/>
      <c r="H303" s="6"/>
      <c r="I303" s="6"/>
      <c r="J303" s="6"/>
      <c r="K303" s="6"/>
    </row>
    <row r="304" spans="5:11">
      <c r="E304" s="6"/>
      <c r="F304" s="6"/>
      <c r="G304" s="6"/>
      <c r="H304" s="6"/>
      <c r="I304" s="6"/>
      <c r="J304" s="6"/>
      <c r="K304" s="6"/>
    </row>
    <row r="305" spans="5:11">
      <c r="E305" s="6"/>
      <c r="F305" s="6"/>
      <c r="G305" s="6"/>
      <c r="H305" s="6"/>
      <c r="I305" s="6"/>
      <c r="J305" s="6"/>
      <c r="K305" s="6"/>
    </row>
    <row r="306" spans="5:11">
      <c r="E306" s="6"/>
      <c r="F306" s="6"/>
      <c r="G306" s="6"/>
      <c r="H306" s="6"/>
      <c r="I306" s="6"/>
      <c r="J306" s="6"/>
      <c r="K306" s="6"/>
    </row>
    <row r="307" spans="5:11">
      <c r="E307" s="6"/>
      <c r="F307" s="6"/>
      <c r="G307" s="6"/>
      <c r="H307" s="6"/>
      <c r="I307" s="6"/>
      <c r="J307" s="6"/>
      <c r="K307" s="6"/>
    </row>
    <row r="308" spans="5:11">
      <c r="E308" s="6"/>
      <c r="F308" s="6"/>
      <c r="G308" s="6"/>
      <c r="H308" s="6"/>
      <c r="I308" s="6"/>
      <c r="J308" s="6"/>
      <c r="K308" s="6"/>
    </row>
    <row r="309" spans="5:11">
      <c r="E309" s="6"/>
      <c r="F309" s="6"/>
      <c r="G309" s="6"/>
      <c r="H309" s="6"/>
      <c r="I309" s="6"/>
      <c r="J309" s="6"/>
      <c r="K309" s="6"/>
    </row>
    <row r="310" spans="5:11">
      <c r="E310" s="6"/>
      <c r="F310" s="6"/>
      <c r="G310" s="6"/>
      <c r="H310" s="6"/>
      <c r="I310" s="6"/>
      <c r="J310" s="6"/>
      <c r="K310" s="6"/>
    </row>
    <row r="311" spans="5:11">
      <c r="E311" s="6"/>
      <c r="F311" s="6"/>
      <c r="G311" s="6"/>
      <c r="H311" s="6"/>
      <c r="I311" s="6"/>
      <c r="J311" s="6"/>
      <c r="K311" s="6"/>
    </row>
    <row r="312" spans="5:11">
      <c r="E312" s="6"/>
      <c r="F312" s="6"/>
      <c r="G312" s="6"/>
      <c r="H312" s="6"/>
      <c r="I312" s="6"/>
      <c r="J312" s="6"/>
      <c r="K312" s="6"/>
    </row>
    <row r="313" spans="5:11">
      <c r="E313" s="6"/>
      <c r="F313" s="6"/>
      <c r="G313" s="6"/>
      <c r="H313" s="6"/>
      <c r="I313" s="6"/>
      <c r="J313" s="6"/>
      <c r="K313" s="6"/>
    </row>
    <row r="314" spans="5:11">
      <c r="E314" s="6"/>
      <c r="F314" s="6"/>
      <c r="G314" s="6"/>
      <c r="H314" s="6"/>
      <c r="I314" s="6"/>
      <c r="J314" s="6"/>
      <c r="K314" s="6"/>
    </row>
    <row r="315" spans="5:11">
      <c r="E315" s="6"/>
      <c r="F315" s="6"/>
      <c r="G315" s="6"/>
      <c r="H315" s="6"/>
      <c r="I315" s="6"/>
      <c r="J315" s="6"/>
      <c r="K315" s="6"/>
    </row>
    <row r="316" spans="5:11">
      <c r="E316" s="6"/>
      <c r="F316" s="6"/>
      <c r="G316" s="6"/>
      <c r="H316" s="6"/>
      <c r="I316" s="6"/>
      <c r="J316" s="6"/>
      <c r="K316" s="6"/>
    </row>
    <row r="317" spans="5:11">
      <c r="E317" s="6"/>
      <c r="F317" s="6"/>
      <c r="G317" s="6"/>
      <c r="H317" s="6"/>
      <c r="I317" s="6"/>
      <c r="J317" s="6"/>
      <c r="K317" s="6"/>
    </row>
    <row r="318" spans="5:11">
      <c r="E318" s="6"/>
      <c r="F318" s="6"/>
      <c r="G318" s="6"/>
      <c r="H318" s="6"/>
      <c r="I318" s="6"/>
      <c r="J318" s="6"/>
      <c r="K318" s="6"/>
    </row>
    <row r="319" spans="5:11">
      <c r="E319" s="6"/>
      <c r="F319" s="6"/>
      <c r="G319" s="6"/>
      <c r="H319" s="6"/>
      <c r="I319" s="6"/>
      <c r="J319" s="6"/>
      <c r="K319" s="6"/>
    </row>
    <row r="320" spans="5:11">
      <c r="E320" s="6"/>
      <c r="F320" s="6"/>
      <c r="G320" s="6"/>
      <c r="H320" s="6"/>
      <c r="I320" s="6"/>
      <c r="J320" s="6"/>
      <c r="K320" s="6"/>
    </row>
    <row r="321" spans="5:11">
      <c r="E321" s="6"/>
      <c r="F321" s="6"/>
      <c r="G321" s="6"/>
      <c r="H321" s="6"/>
      <c r="I321" s="6"/>
      <c r="J321" s="6"/>
      <c r="K321" s="6"/>
    </row>
    <row r="322" spans="5:11">
      <c r="E322" s="6"/>
      <c r="F322" s="6"/>
      <c r="G322" s="6"/>
      <c r="H322" s="6"/>
      <c r="I322" s="6"/>
      <c r="J322" s="6"/>
      <c r="K322" s="6"/>
    </row>
    <row r="323" spans="5:11">
      <c r="E323" s="6"/>
      <c r="F323" s="6"/>
      <c r="G323" s="6"/>
      <c r="H323" s="6"/>
      <c r="I323" s="6"/>
      <c r="J323" s="6"/>
      <c r="K323" s="6"/>
    </row>
    <row r="324" spans="5:11">
      <c r="E324" s="6"/>
      <c r="F324" s="6"/>
      <c r="G324" s="6"/>
      <c r="H324" s="6"/>
      <c r="I324" s="6"/>
      <c r="J324" s="6"/>
      <c r="K324" s="6"/>
    </row>
    <row r="325" spans="5:11">
      <c r="E325" s="6"/>
      <c r="F325" s="6"/>
      <c r="G325" s="6"/>
      <c r="H325" s="6"/>
      <c r="I325" s="6"/>
      <c r="J325" s="6"/>
      <c r="K325" s="6"/>
    </row>
    <row r="326" spans="5:11">
      <c r="E326" s="6"/>
      <c r="F326" s="6"/>
      <c r="G326" s="6"/>
      <c r="H326" s="6"/>
      <c r="I326" s="6"/>
      <c r="J326" s="6"/>
      <c r="K326" s="6"/>
    </row>
    <row r="327" spans="5:11">
      <c r="E327" s="6"/>
      <c r="F327" s="6"/>
      <c r="G327" s="6"/>
      <c r="H327" s="6"/>
      <c r="I327" s="6"/>
      <c r="J327" s="6"/>
      <c r="K327" s="6"/>
    </row>
    <row r="328" spans="5:11">
      <c r="E328" s="6"/>
      <c r="F328" s="6"/>
      <c r="G328" s="6"/>
      <c r="H328" s="6"/>
      <c r="I328" s="6"/>
      <c r="J328" s="6"/>
      <c r="K328" s="6"/>
    </row>
    <row r="329" spans="5:11">
      <c r="E329" s="6"/>
      <c r="F329" s="6"/>
      <c r="G329" s="6"/>
      <c r="H329" s="6"/>
      <c r="I329" s="6"/>
      <c r="J329" s="6"/>
      <c r="K329" s="6"/>
    </row>
    <row r="330" spans="5:11">
      <c r="E330" s="6"/>
      <c r="F330" s="6"/>
      <c r="G330" s="6"/>
      <c r="H330" s="6"/>
      <c r="I330" s="6"/>
      <c r="J330" s="6"/>
      <c r="K330" s="6"/>
    </row>
    <row r="331" spans="5:11">
      <c r="E331" s="6"/>
      <c r="F331" s="6"/>
      <c r="G331" s="6"/>
      <c r="H331" s="6"/>
      <c r="I331" s="6"/>
      <c r="J331" s="6"/>
      <c r="K331" s="6"/>
    </row>
    <row r="332" spans="5:11">
      <c r="E332" s="6"/>
      <c r="F332" s="6"/>
      <c r="G332" s="6"/>
      <c r="H332" s="6"/>
      <c r="I332" s="6"/>
      <c r="J332" s="6"/>
      <c r="K332" s="6"/>
    </row>
    <row r="333" spans="5:11">
      <c r="E333" s="6"/>
      <c r="F333" s="6"/>
      <c r="G333" s="6"/>
      <c r="H333" s="6"/>
      <c r="I333" s="6"/>
      <c r="J333" s="6"/>
      <c r="K333" s="6"/>
    </row>
    <row r="334" spans="5:11">
      <c r="E334" s="6"/>
      <c r="F334" s="6"/>
      <c r="G334" s="6"/>
      <c r="H334" s="6"/>
      <c r="I334" s="6"/>
      <c r="J334" s="6"/>
      <c r="K334" s="6"/>
    </row>
    <row r="335" spans="5:11">
      <c r="E335" s="6"/>
      <c r="F335" s="6"/>
      <c r="G335" s="6"/>
      <c r="H335" s="6"/>
      <c r="I335" s="6"/>
      <c r="J335" s="6"/>
      <c r="K335" s="6"/>
    </row>
    <row r="336" spans="5:11">
      <c r="E336" s="6"/>
      <c r="F336" s="6"/>
      <c r="G336" s="6"/>
      <c r="H336" s="6"/>
      <c r="I336" s="6"/>
      <c r="J336" s="6"/>
      <c r="K336" s="6"/>
    </row>
    <row r="337" spans="5:11">
      <c r="E337" s="6"/>
      <c r="F337" s="6"/>
      <c r="G337" s="6"/>
      <c r="H337" s="6"/>
      <c r="I337" s="6"/>
      <c r="J337" s="6"/>
      <c r="K337" s="6"/>
    </row>
    <row r="338" spans="5:11">
      <c r="E338" s="6"/>
      <c r="F338" s="6"/>
      <c r="G338" s="6"/>
      <c r="H338" s="6"/>
      <c r="I338" s="6"/>
      <c r="J338" s="6"/>
      <c r="K338" s="6"/>
    </row>
    <row r="339" spans="5:11">
      <c r="E339" s="6"/>
      <c r="F339" s="6"/>
      <c r="G339" s="6"/>
      <c r="H339" s="6"/>
      <c r="I339" s="6"/>
      <c r="J339" s="6"/>
      <c r="K339" s="6"/>
    </row>
    <row r="340" spans="5:11">
      <c r="E340" s="6"/>
      <c r="F340" s="6"/>
      <c r="G340" s="6"/>
      <c r="H340" s="6"/>
      <c r="I340" s="6"/>
      <c r="J340" s="6"/>
      <c r="K340" s="6"/>
    </row>
    <row r="341" spans="5:11">
      <c r="E341" s="6"/>
      <c r="F341" s="6"/>
      <c r="G341" s="6"/>
      <c r="H341" s="6"/>
      <c r="I341" s="6"/>
      <c r="J341" s="6"/>
      <c r="K341" s="6"/>
    </row>
    <row r="342" spans="5:11">
      <c r="E342" s="6"/>
      <c r="F342" s="6"/>
      <c r="G342" s="6"/>
      <c r="H342" s="6"/>
      <c r="I342" s="6"/>
      <c r="J342" s="6"/>
      <c r="K342" s="6"/>
    </row>
    <row r="343" spans="5:11">
      <c r="E343" s="6"/>
      <c r="F343" s="6"/>
      <c r="G343" s="6"/>
      <c r="H343" s="6"/>
      <c r="I343" s="6"/>
      <c r="J343" s="6"/>
      <c r="K343" s="6"/>
    </row>
    <row r="344" spans="5:11">
      <c r="E344" s="6"/>
      <c r="F344" s="6"/>
      <c r="G344" s="6"/>
      <c r="H344" s="6"/>
      <c r="I344" s="6"/>
      <c r="J344" s="6"/>
      <c r="K344" s="6"/>
    </row>
    <row r="345" spans="5:11">
      <c r="E345" s="6"/>
      <c r="F345" s="6"/>
      <c r="G345" s="6"/>
      <c r="H345" s="6"/>
      <c r="I345" s="6"/>
      <c r="J345" s="6"/>
      <c r="K345" s="6"/>
    </row>
    <row r="346" spans="5:11">
      <c r="E346" s="6"/>
      <c r="F346" s="6"/>
      <c r="G346" s="6"/>
      <c r="H346" s="6"/>
      <c r="I346" s="6"/>
      <c r="J346" s="6"/>
      <c r="K346" s="6"/>
    </row>
    <row r="347" spans="5:11">
      <c r="E347" s="6"/>
      <c r="F347" s="6"/>
      <c r="G347" s="6"/>
      <c r="H347" s="6"/>
      <c r="I347" s="6"/>
      <c r="J347" s="6"/>
      <c r="K347" s="6"/>
    </row>
    <row r="348" spans="5:11">
      <c r="E348" s="6"/>
      <c r="F348" s="6"/>
      <c r="G348" s="6"/>
      <c r="H348" s="6"/>
      <c r="I348" s="6"/>
      <c r="J348" s="6"/>
      <c r="K348" s="6"/>
    </row>
    <row r="349" spans="5:11">
      <c r="E349" s="6"/>
      <c r="F349" s="6"/>
      <c r="G349" s="6"/>
      <c r="H349" s="6"/>
      <c r="I349" s="6"/>
      <c r="J349" s="6"/>
      <c r="K349" s="6"/>
    </row>
    <row r="350" spans="5:11">
      <c r="E350" s="6"/>
      <c r="F350" s="6"/>
      <c r="G350" s="6"/>
      <c r="H350" s="6"/>
      <c r="I350" s="6"/>
      <c r="J350" s="6"/>
      <c r="K350" s="6"/>
    </row>
    <row r="351" spans="5:11">
      <c r="E351" s="6"/>
      <c r="F351" s="6"/>
      <c r="G351" s="6"/>
      <c r="H351" s="6"/>
      <c r="I351" s="6"/>
      <c r="J351" s="6"/>
      <c r="K351" s="6"/>
    </row>
    <row r="352" spans="5:11">
      <c r="E352" s="6"/>
      <c r="F352" s="6"/>
      <c r="G352" s="6"/>
      <c r="H352" s="6"/>
      <c r="I352" s="6"/>
      <c r="J352" s="6"/>
      <c r="K352" s="6"/>
    </row>
    <row r="353" spans="5:11">
      <c r="E353" s="6"/>
      <c r="F353" s="6"/>
      <c r="G353" s="6"/>
      <c r="H353" s="6"/>
      <c r="I353" s="6"/>
      <c r="J353" s="6"/>
      <c r="K353" s="6"/>
    </row>
    <row r="354" spans="5:11">
      <c r="E354" s="6"/>
      <c r="F354" s="6"/>
      <c r="G354" s="6"/>
      <c r="H354" s="6"/>
      <c r="I354" s="6"/>
      <c r="J354" s="6"/>
      <c r="K354" s="6"/>
    </row>
    <row r="355" spans="5:11">
      <c r="E355" s="6"/>
      <c r="F355" s="6"/>
      <c r="G355" s="6"/>
      <c r="H355" s="6"/>
      <c r="I355" s="6"/>
      <c r="J355" s="6"/>
      <c r="K355" s="6"/>
    </row>
    <row r="356" spans="5:11">
      <c r="E356" s="6"/>
      <c r="F356" s="6"/>
      <c r="G356" s="6"/>
      <c r="H356" s="6"/>
      <c r="I356" s="6"/>
      <c r="J356" s="6"/>
      <c r="K356" s="6"/>
    </row>
    <row r="357" spans="5:11">
      <c r="E357" s="6"/>
      <c r="F357" s="6"/>
      <c r="G357" s="6"/>
      <c r="H357" s="6"/>
      <c r="I357" s="6"/>
      <c r="J357" s="6"/>
      <c r="K357" s="6"/>
    </row>
    <row r="358" spans="5:11">
      <c r="E358" s="6"/>
      <c r="F358" s="6"/>
      <c r="G358" s="6"/>
      <c r="H358" s="6"/>
      <c r="I358" s="6"/>
      <c r="J358" s="6"/>
      <c r="K358" s="6"/>
    </row>
    <row r="359" spans="5:11">
      <c r="E359" s="6"/>
      <c r="F359" s="6"/>
      <c r="G359" s="6"/>
      <c r="H359" s="6"/>
      <c r="I359" s="6"/>
      <c r="J359" s="6"/>
      <c r="K359" s="6"/>
    </row>
    <row r="360" spans="5:11">
      <c r="E360" s="6"/>
      <c r="F360" s="6"/>
      <c r="G360" s="6"/>
      <c r="H360" s="6"/>
      <c r="I360" s="6"/>
      <c r="J360" s="6"/>
      <c r="K360" s="6"/>
    </row>
    <row r="361" spans="5:11">
      <c r="E361" s="6"/>
      <c r="F361" s="6"/>
      <c r="G361" s="6"/>
      <c r="H361" s="6"/>
      <c r="I361" s="6"/>
      <c r="J361" s="6"/>
      <c r="K361" s="6"/>
    </row>
    <row r="362" spans="5:11">
      <c r="E362" s="6"/>
      <c r="F362" s="6"/>
      <c r="G362" s="6"/>
      <c r="H362" s="6"/>
      <c r="I362" s="6"/>
      <c r="J362" s="6"/>
      <c r="K362" s="6"/>
    </row>
    <row r="363" spans="5:11">
      <c r="E363" s="6"/>
      <c r="F363" s="6"/>
      <c r="G363" s="6"/>
      <c r="H363" s="6"/>
      <c r="I363" s="6"/>
      <c r="J363" s="6"/>
      <c r="K363" s="6"/>
    </row>
    <row r="364" spans="5:11">
      <c r="E364" s="6"/>
      <c r="F364" s="6"/>
      <c r="G364" s="6"/>
      <c r="H364" s="6"/>
      <c r="I364" s="6"/>
      <c r="J364" s="6"/>
      <c r="K364" s="6"/>
    </row>
    <row r="365" spans="5:11">
      <c r="E365" s="6"/>
      <c r="F365" s="6"/>
      <c r="G365" s="6"/>
      <c r="H365" s="6"/>
      <c r="I365" s="6"/>
      <c r="J365" s="6"/>
      <c r="K365" s="6"/>
    </row>
    <row r="366" spans="5:11">
      <c r="E366" s="6"/>
      <c r="F366" s="6"/>
      <c r="G366" s="6"/>
      <c r="H366" s="6"/>
      <c r="I366" s="6"/>
      <c r="J366" s="6"/>
      <c r="K366" s="6"/>
    </row>
    <row r="367" spans="5:11">
      <c r="E367" s="6"/>
      <c r="F367" s="6"/>
      <c r="G367" s="6"/>
      <c r="H367" s="6"/>
      <c r="I367" s="6"/>
      <c r="J367" s="6"/>
      <c r="K367" s="6"/>
    </row>
    <row r="368" spans="5:11">
      <c r="E368" s="6"/>
      <c r="F368" s="6"/>
      <c r="G368" s="6"/>
      <c r="H368" s="6"/>
      <c r="I368" s="6"/>
      <c r="J368" s="6"/>
      <c r="K368" s="6"/>
    </row>
    <row r="369" spans="5:11">
      <c r="E369" s="6"/>
      <c r="F369" s="6"/>
      <c r="G369" s="6"/>
      <c r="H369" s="6"/>
      <c r="I369" s="6"/>
      <c r="J369" s="6"/>
      <c r="K369" s="6"/>
    </row>
    <row r="370" spans="5:11">
      <c r="E370" s="6"/>
      <c r="F370" s="6"/>
      <c r="G370" s="6"/>
      <c r="H370" s="6"/>
      <c r="I370" s="6"/>
      <c r="J370" s="6"/>
      <c r="K370" s="6"/>
    </row>
    <row r="371" spans="5:11">
      <c r="E371" s="6"/>
      <c r="F371" s="6"/>
      <c r="G371" s="6"/>
      <c r="H371" s="6"/>
      <c r="I371" s="6"/>
      <c r="J371" s="6"/>
      <c r="K371" s="6"/>
    </row>
    <row r="372" spans="5:11">
      <c r="E372" s="6"/>
      <c r="F372" s="6"/>
      <c r="G372" s="6"/>
      <c r="H372" s="6"/>
      <c r="I372" s="6"/>
      <c r="J372" s="6"/>
      <c r="K372" s="6"/>
    </row>
    <row r="373" spans="5:11">
      <c r="E373" s="6"/>
      <c r="F373" s="6"/>
      <c r="G373" s="6"/>
      <c r="H373" s="6"/>
      <c r="I373" s="6"/>
      <c r="J373" s="6"/>
      <c r="K373" s="6"/>
    </row>
    <row r="374" spans="5:11">
      <c r="E374" s="6"/>
      <c r="F374" s="6"/>
      <c r="G374" s="6"/>
      <c r="H374" s="6"/>
      <c r="I374" s="6"/>
      <c r="J374" s="6"/>
      <c r="K374" s="6"/>
    </row>
    <row r="375" spans="5:11">
      <c r="E375" s="6"/>
      <c r="F375" s="6"/>
      <c r="G375" s="6"/>
      <c r="H375" s="6"/>
      <c r="I375" s="6"/>
      <c r="J375" s="6"/>
      <c r="K375" s="6"/>
    </row>
    <row r="376" spans="5:11">
      <c r="E376" s="6"/>
      <c r="F376" s="6"/>
      <c r="G376" s="6"/>
      <c r="H376" s="6"/>
      <c r="I376" s="6"/>
      <c r="J376" s="6"/>
      <c r="K376" s="6"/>
    </row>
    <row r="377" spans="5:11">
      <c r="E377" s="6"/>
      <c r="F377" s="6"/>
      <c r="G377" s="6"/>
      <c r="H377" s="6"/>
      <c r="I377" s="6"/>
      <c r="J377" s="6"/>
      <c r="K377" s="6"/>
    </row>
    <row r="378" spans="5:11">
      <c r="E378" s="6"/>
      <c r="F378" s="6"/>
      <c r="G378" s="6"/>
      <c r="H378" s="6"/>
      <c r="I378" s="6"/>
      <c r="J378" s="6"/>
      <c r="K378" s="6"/>
    </row>
    <row r="379" spans="5:11">
      <c r="E379" s="6"/>
      <c r="F379" s="6"/>
      <c r="G379" s="6"/>
      <c r="H379" s="6"/>
      <c r="I379" s="6"/>
      <c r="J379" s="6"/>
      <c r="K379" s="6"/>
    </row>
    <row r="380" spans="5:11">
      <c r="E380" s="6"/>
      <c r="F380" s="6"/>
      <c r="G380" s="6"/>
      <c r="H380" s="6"/>
      <c r="I380" s="6"/>
      <c r="J380" s="6"/>
      <c r="K380" s="6"/>
    </row>
    <row r="381" spans="5:11">
      <c r="E381" s="6"/>
      <c r="F381" s="6"/>
      <c r="G381" s="6"/>
      <c r="H381" s="6"/>
      <c r="I381" s="6"/>
      <c r="J381" s="6"/>
      <c r="K381" s="6"/>
    </row>
    <row r="382" spans="5:11">
      <c r="E382" s="6"/>
      <c r="F382" s="6"/>
      <c r="G382" s="6"/>
      <c r="H382" s="6"/>
      <c r="I382" s="6"/>
      <c r="J382" s="6"/>
      <c r="K382" s="6"/>
    </row>
    <row r="383" spans="5:11">
      <c r="E383" s="6"/>
      <c r="F383" s="6"/>
      <c r="G383" s="6"/>
      <c r="H383" s="6"/>
      <c r="I383" s="6"/>
      <c r="J383" s="6"/>
      <c r="K383" s="6"/>
    </row>
    <row r="384" spans="5:11">
      <c r="E384" s="6"/>
      <c r="F384" s="6"/>
      <c r="G384" s="6"/>
      <c r="H384" s="6"/>
      <c r="I384" s="6"/>
      <c r="J384" s="6"/>
      <c r="K384" s="6"/>
    </row>
    <row r="385" spans="5:11">
      <c r="E385" s="6"/>
      <c r="F385" s="6"/>
      <c r="G385" s="6"/>
      <c r="H385" s="6"/>
      <c r="I385" s="6"/>
      <c r="J385" s="6"/>
      <c r="K385" s="6"/>
    </row>
    <row r="386" spans="5:11">
      <c r="E386" s="6"/>
      <c r="F386" s="6"/>
      <c r="G386" s="6"/>
      <c r="H386" s="6"/>
      <c r="I386" s="6"/>
      <c r="J386" s="6"/>
      <c r="K386" s="6"/>
    </row>
    <row r="387" spans="5:11">
      <c r="E387" s="6"/>
      <c r="F387" s="6"/>
      <c r="G387" s="6"/>
      <c r="H387" s="6"/>
      <c r="I387" s="6"/>
      <c r="J387" s="6"/>
      <c r="K387" s="6"/>
    </row>
    <row r="388" spans="5:11">
      <c r="E388" s="6"/>
      <c r="F388" s="6"/>
      <c r="G388" s="6"/>
      <c r="H388" s="6"/>
      <c r="I388" s="6"/>
      <c r="J388" s="6"/>
      <c r="K388" s="6"/>
    </row>
    <row r="389" spans="5:11">
      <c r="E389" s="6"/>
      <c r="F389" s="6"/>
      <c r="G389" s="6"/>
      <c r="H389" s="6"/>
      <c r="I389" s="6"/>
      <c r="J389" s="6"/>
      <c r="K389" s="6"/>
    </row>
    <row r="390" spans="5:11">
      <c r="E390" s="6"/>
      <c r="F390" s="6"/>
      <c r="G390" s="6"/>
      <c r="H390" s="6"/>
      <c r="I390" s="6"/>
      <c r="J390" s="6"/>
      <c r="K390" s="6"/>
    </row>
    <row r="391" spans="5:11">
      <c r="E391" s="6"/>
      <c r="F391" s="6"/>
      <c r="G391" s="6"/>
      <c r="H391" s="6"/>
      <c r="I391" s="6"/>
      <c r="J391" s="6"/>
      <c r="K391" s="6"/>
    </row>
    <row r="392" spans="5:11">
      <c r="E392" s="6"/>
      <c r="F392" s="6"/>
      <c r="G392" s="6"/>
      <c r="H392" s="6"/>
      <c r="I392" s="6"/>
      <c r="J392" s="6"/>
      <c r="K392" s="6"/>
    </row>
    <row r="393" spans="5:11">
      <c r="E393" s="6"/>
      <c r="F393" s="6"/>
      <c r="G393" s="6"/>
      <c r="H393" s="6"/>
      <c r="I393" s="6"/>
      <c r="J393" s="6"/>
      <c r="K393" s="6"/>
    </row>
    <row r="394" spans="5:11">
      <c r="E394" s="6"/>
      <c r="F394" s="6"/>
      <c r="G394" s="6"/>
      <c r="H394" s="6"/>
      <c r="I394" s="6"/>
      <c r="J394" s="6"/>
      <c r="K394" s="6"/>
    </row>
    <row r="395" spans="5:11">
      <c r="E395" s="6"/>
      <c r="F395" s="6"/>
      <c r="G395" s="6"/>
      <c r="H395" s="6"/>
      <c r="I395" s="6"/>
      <c r="J395" s="6"/>
      <c r="K395" s="6"/>
    </row>
    <row r="396" spans="5:11">
      <c r="E396" s="6"/>
      <c r="F396" s="6"/>
      <c r="G396" s="6"/>
      <c r="H396" s="6"/>
      <c r="I396" s="6"/>
      <c r="J396" s="6"/>
      <c r="K396" s="6"/>
    </row>
    <row r="397" spans="5:11">
      <c r="E397" s="6"/>
      <c r="F397" s="6"/>
      <c r="G397" s="6"/>
      <c r="H397" s="6"/>
      <c r="I397" s="6"/>
      <c r="J397" s="6"/>
      <c r="K397" s="6"/>
    </row>
    <row r="398" spans="5:11">
      <c r="E398" s="6"/>
      <c r="F398" s="6"/>
      <c r="G398" s="6"/>
      <c r="H398" s="6"/>
      <c r="I398" s="6"/>
      <c r="J398" s="6"/>
      <c r="K398" s="6"/>
    </row>
    <row r="399" spans="5:11">
      <c r="E399" s="6"/>
      <c r="F399" s="6"/>
      <c r="G399" s="6"/>
      <c r="H399" s="6"/>
      <c r="I399" s="6"/>
      <c r="J399" s="6"/>
      <c r="K399" s="6"/>
    </row>
    <row r="400" spans="5:11">
      <c r="E400" s="6"/>
      <c r="F400" s="6"/>
      <c r="G400" s="6"/>
      <c r="H400" s="6"/>
      <c r="I400" s="6"/>
      <c r="J400" s="6"/>
      <c r="K400" s="6"/>
    </row>
    <row r="401" spans="5:11">
      <c r="E401" s="6"/>
      <c r="F401" s="6"/>
      <c r="G401" s="6"/>
      <c r="H401" s="6"/>
      <c r="I401" s="6"/>
      <c r="J401" s="6"/>
      <c r="K401" s="6"/>
    </row>
    <row r="402" spans="5:11">
      <c r="E402" s="6"/>
      <c r="F402" s="6"/>
      <c r="G402" s="6"/>
      <c r="H402" s="6"/>
      <c r="I402" s="6"/>
      <c r="J402" s="6"/>
      <c r="K402" s="6"/>
    </row>
    <row r="403" spans="5:11">
      <c r="E403" s="6"/>
      <c r="F403" s="6"/>
      <c r="G403" s="6"/>
      <c r="H403" s="6"/>
      <c r="I403" s="6"/>
      <c r="J403" s="6"/>
      <c r="K403" s="6"/>
    </row>
    <row r="404" spans="5:11">
      <c r="E404" s="6"/>
      <c r="F404" s="6"/>
      <c r="G404" s="6"/>
      <c r="H404" s="6"/>
      <c r="I404" s="6"/>
      <c r="J404" s="6"/>
      <c r="K404" s="6"/>
    </row>
    <row r="405" spans="5:11">
      <c r="E405" s="6"/>
      <c r="F405" s="6"/>
      <c r="G405" s="6"/>
      <c r="H405" s="6"/>
      <c r="I405" s="6"/>
      <c r="J405" s="6"/>
      <c r="K405" s="6"/>
    </row>
    <row r="406" spans="5:11">
      <c r="E406" s="6"/>
      <c r="F406" s="6"/>
      <c r="G406" s="6"/>
      <c r="H406" s="6"/>
      <c r="I406" s="6"/>
      <c r="J406" s="6"/>
      <c r="K406" s="6"/>
    </row>
    <row r="407" spans="5:11">
      <c r="E407" s="6"/>
      <c r="F407" s="6"/>
      <c r="G407" s="6"/>
      <c r="H407" s="6"/>
      <c r="I407" s="6"/>
      <c r="J407" s="6"/>
      <c r="K407" s="6"/>
    </row>
    <row r="408" spans="5:11">
      <c r="E408" s="6"/>
      <c r="F408" s="6"/>
      <c r="G408" s="6"/>
      <c r="H408" s="6"/>
      <c r="I408" s="6"/>
      <c r="J408" s="6"/>
      <c r="K408" s="6"/>
    </row>
    <row r="409" spans="5:11">
      <c r="E409" s="6"/>
      <c r="F409" s="6"/>
      <c r="G409" s="6"/>
      <c r="H409" s="6"/>
      <c r="I409" s="6"/>
      <c r="J409" s="6"/>
      <c r="K409" s="6"/>
    </row>
    <row r="410" spans="5:11">
      <c r="E410" s="6"/>
      <c r="F410" s="6"/>
      <c r="G410" s="6"/>
      <c r="H410" s="6"/>
      <c r="I410" s="6"/>
      <c r="J410" s="6"/>
      <c r="K410" s="6"/>
    </row>
    <row r="411" spans="5:11">
      <c r="E411" s="6"/>
      <c r="F411" s="6"/>
      <c r="G411" s="6"/>
      <c r="H411" s="6"/>
      <c r="I411" s="6"/>
      <c r="J411" s="6"/>
      <c r="K411" s="6"/>
    </row>
    <row r="412" spans="5:11">
      <c r="E412" s="6"/>
      <c r="F412" s="6"/>
      <c r="G412" s="6"/>
      <c r="H412" s="6"/>
      <c r="I412" s="6"/>
      <c r="J412" s="6"/>
      <c r="K412" s="6"/>
    </row>
    <row r="413" spans="5:11">
      <c r="E413" s="6"/>
      <c r="F413" s="6"/>
      <c r="G413" s="6"/>
      <c r="H413" s="6"/>
      <c r="I413" s="6"/>
      <c r="J413" s="6"/>
      <c r="K413" s="6"/>
    </row>
    <row r="414" spans="5:11">
      <c r="E414" s="6"/>
      <c r="F414" s="6"/>
      <c r="G414" s="6"/>
      <c r="H414" s="6"/>
      <c r="I414" s="6"/>
      <c r="J414" s="6"/>
      <c r="K414" s="6"/>
    </row>
    <row r="415" spans="5:11">
      <c r="E415" s="6"/>
      <c r="F415" s="6"/>
      <c r="G415" s="6"/>
      <c r="H415" s="6"/>
      <c r="I415" s="6"/>
      <c r="J415" s="6"/>
      <c r="K415" s="6"/>
    </row>
    <row r="416" spans="5:11">
      <c r="E416" s="6"/>
      <c r="F416" s="6"/>
      <c r="G416" s="6"/>
      <c r="H416" s="6"/>
      <c r="I416" s="6"/>
      <c r="J416" s="6"/>
      <c r="K416" s="6"/>
    </row>
    <row r="417" spans="5:11">
      <c r="E417" s="6"/>
      <c r="F417" s="6"/>
      <c r="G417" s="6"/>
      <c r="H417" s="6"/>
      <c r="I417" s="6"/>
      <c r="J417" s="6"/>
      <c r="K417" s="6"/>
    </row>
    <row r="418" spans="5:11">
      <c r="E418" s="6"/>
      <c r="F418" s="6"/>
      <c r="G418" s="6"/>
      <c r="H418" s="6"/>
      <c r="I418" s="6"/>
      <c r="J418" s="6"/>
      <c r="K418" s="6"/>
    </row>
    <row r="419" spans="5:11">
      <c r="E419" s="6"/>
      <c r="F419" s="6"/>
      <c r="G419" s="6"/>
      <c r="H419" s="6"/>
      <c r="I419" s="6"/>
      <c r="J419" s="6"/>
      <c r="K419" s="6"/>
    </row>
    <row r="420" spans="5:11">
      <c r="E420" s="6"/>
      <c r="F420" s="6"/>
      <c r="G420" s="6"/>
      <c r="H420" s="6"/>
      <c r="I420" s="6"/>
      <c r="J420" s="6"/>
      <c r="K420" s="6"/>
    </row>
    <row r="421" spans="5:11">
      <c r="E421" s="6"/>
      <c r="F421" s="6"/>
      <c r="G421" s="6"/>
      <c r="H421" s="6"/>
      <c r="I421" s="6"/>
      <c r="J421" s="6"/>
      <c r="K421" s="6"/>
    </row>
    <row r="422" spans="5:11">
      <c r="E422" s="6"/>
      <c r="F422" s="6"/>
      <c r="G422" s="6"/>
      <c r="H422" s="6"/>
      <c r="I422" s="6"/>
      <c r="J422" s="6"/>
      <c r="K422" s="6"/>
    </row>
    <row r="423" spans="5:11">
      <c r="E423" s="6"/>
      <c r="F423" s="6"/>
      <c r="G423" s="6"/>
      <c r="H423" s="6"/>
      <c r="I423" s="6"/>
      <c r="J423" s="6"/>
      <c r="K423" s="6"/>
    </row>
    <row r="424" spans="5:11">
      <c r="E424" s="6"/>
      <c r="F424" s="6"/>
      <c r="G424" s="6"/>
      <c r="H424" s="6"/>
      <c r="I424" s="6"/>
      <c r="J424" s="6"/>
      <c r="K424" s="6"/>
    </row>
    <row r="425" spans="5:11">
      <c r="E425" s="6"/>
      <c r="F425" s="6"/>
      <c r="G425" s="6"/>
      <c r="H425" s="6"/>
      <c r="I425" s="6"/>
      <c r="J425" s="6"/>
      <c r="K425" s="6"/>
    </row>
    <row r="426" spans="5:11">
      <c r="E426" s="6"/>
      <c r="F426" s="6"/>
      <c r="G426" s="6"/>
      <c r="H426" s="6"/>
      <c r="I426" s="6"/>
      <c r="J426" s="6"/>
      <c r="K426" s="6"/>
    </row>
    <row r="427" spans="5:11">
      <c r="E427" s="6"/>
      <c r="F427" s="6"/>
      <c r="G427" s="6"/>
      <c r="H427" s="6"/>
      <c r="I427" s="6"/>
      <c r="J427" s="6"/>
      <c r="K427" s="6"/>
    </row>
    <row r="428" spans="5:11">
      <c r="E428" s="6"/>
      <c r="F428" s="6"/>
      <c r="G428" s="6"/>
      <c r="H428" s="6"/>
      <c r="I428" s="6"/>
      <c r="J428" s="6"/>
      <c r="K428" s="6"/>
    </row>
    <row r="429" spans="5:11">
      <c r="E429" s="6"/>
      <c r="F429" s="6"/>
      <c r="G429" s="6"/>
      <c r="H429" s="6"/>
      <c r="I429" s="6"/>
      <c r="J429" s="6"/>
      <c r="K429" s="6"/>
    </row>
    <row r="430" spans="5:11">
      <c r="E430" s="6"/>
      <c r="F430" s="6"/>
      <c r="G430" s="6"/>
      <c r="H430" s="6"/>
      <c r="I430" s="6"/>
      <c r="J430" s="6"/>
      <c r="K430" s="6"/>
    </row>
    <row r="431" spans="5:11">
      <c r="E431" s="6"/>
      <c r="F431" s="6"/>
      <c r="G431" s="6"/>
      <c r="H431" s="6"/>
      <c r="I431" s="6"/>
      <c r="J431" s="6"/>
      <c r="K431" s="6"/>
    </row>
    <row r="432" spans="5:11">
      <c r="E432" s="6"/>
      <c r="F432" s="6"/>
      <c r="G432" s="6"/>
      <c r="H432" s="6"/>
      <c r="I432" s="6"/>
      <c r="J432" s="6"/>
      <c r="K432" s="6"/>
    </row>
    <row r="433" spans="5:11">
      <c r="E433" s="6"/>
      <c r="F433" s="6"/>
      <c r="G433" s="6"/>
      <c r="H433" s="6"/>
      <c r="I433" s="6"/>
      <c r="J433" s="6"/>
      <c r="K433" s="6"/>
    </row>
    <row r="434" spans="5:11">
      <c r="E434" s="6"/>
      <c r="F434" s="6"/>
      <c r="G434" s="6"/>
      <c r="H434" s="6"/>
      <c r="I434" s="6"/>
      <c r="J434" s="6"/>
      <c r="K434" s="6"/>
    </row>
    <row r="435" spans="5:11">
      <c r="E435" s="6"/>
      <c r="F435" s="6"/>
      <c r="G435" s="6"/>
      <c r="H435" s="6"/>
      <c r="I435" s="6"/>
      <c r="J435" s="6"/>
      <c r="K435" s="6"/>
    </row>
    <row r="436" spans="5:11">
      <c r="E436" s="6"/>
      <c r="F436" s="6"/>
      <c r="G436" s="6"/>
      <c r="H436" s="6"/>
      <c r="I436" s="6"/>
      <c r="J436" s="6"/>
      <c r="K436" s="6"/>
    </row>
    <row r="437" spans="5:11">
      <c r="E437" s="6"/>
      <c r="F437" s="6"/>
      <c r="G437" s="6"/>
      <c r="H437" s="6"/>
      <c r="I437" s="6"/>
      <c r="J437" s="6"/>
      <c r="K437" s="6"/>
    </row>
    <row r="438" spans="5:11">
      <c r="E438" s="6"/>
      <c r="F438" s="6"/>
      <c r="G438" s="6"/>
      <c r="H438" s="6"/>
      <c r="I438" s="6"/>
      <c r="J438" s="6"/>
      <c r="K438" s="6"/>
    </row>
    <row r="439" spans="5:11">
      <c r="E439" s="6"/>
      <c r="F439" s="6"/>
      <c r="G439" s="6"/>
      <c r="H439" s="6"/>
      <c r="I439" s="6"/>
      <c r="J439" s="6"/>
      <c r="K439" s="6"/>
    </row>
    <row r="440" spans="5:11">
      <c r="E440" s="6"/>
      <c r="F440" s="6"/>
      <c r="G440" s="6"/>
      <c r="H440" s="6"/>
      <c r="I440" s="6"/>
      <c r="J440" s="6"/>
      <c r="K440" s="6"/>
    </row>
    <row r="441" spans="5:11">
      <c r="E441" s="6"/>
      <c r="F441" s="6"/>
      <c r="G441" s="6"/>
      <c r="H441" s="6"/>
      <c r="I441" s="6"/>
      <c r="J441" s="6"/>
      <c r="K441" s="6"/>
    </row>
    <row r="442" spans="5:11">
      <c r="E442" s="6"/>
      <c r="F442" s="6"/>
      <c r="G442" s="6"/>
      <c r="H442" s="6"/>
      <c r="I442" s="6"/>
      <c r="J442" s="6"/>
      <c r="K442" s="6"/>
    </row>
    <row r="443" spans="5:11">
      <c r="E443" s="6"/>
      <c r="F443" s="6"/>
      <c r="G443" s="6"/>
      <c r="H443" s="6"/>
      <c r="I443" s="6"/>
      <c r="J443" s="6"/>
      <c r="K443" s="6"/>
    </row>
    <row r="444" spans="5:11">
      <c r="E444" s="6"/>
      <c r="F444" s="6"/>
      <c r="G444" s="6"/>
      <c r="H444" s="6"/>
      <c r="I444" s="6"/>
      <c r="J444" s="6"/>
      <c r="K444" s="6"/>
    </row>
    <row r="445" spans="5:11">
      <c r="E445" s="6"/>
      <c r="F445" s="6"/>
      <c r="G445" s="6"/>
      <c r="H445" s="6"/>
      <c r="I445" s="6"/>
      <c r="J445" s="6"/>
      <c r="K445" s="6"/>
    </row>
    <row r="446" spans="5:11">
      <c r="E446" s="6"/>
      <c r="F446" s="6"/>
      <c r="G446" s="6"/>
      <c r="H446" s="6"/>
      <c r="I446" s="6"/>
      <c r="J446" s="6"/>
      <c r="K446" s="6"/>
    </row>
    <row r="447" spans="5:11">
      <c r="E447" s="6"/>
      <c r="F447" s="6"/>
      <c r="G447" s="6"/>
      <c r="H447" s="6"/>
      <c r="I447" s="6"/>
      <c r="J447" s="6"/>
      <c r="K447" s="6"/>
    </row>
    <row r="448" spans="5:11">
      <c r="E448" s="6"/>
      <c r="F448" s="6"/>
      <c r="G448" s="6"/>
      <c r="H448" s="6"/>
      <c r="I448" s="6"/>
      <c r="J448" s="6"/>
      <c r="K448" s="6"/>
    </row>
    <row r="449" spans="5:11">
      <c r="E449" s="6"/>
      <c r="F449" s="6"/>
      <c r="G449" s="6"/>
      <c r="H449" s="6"/>
      <c r="I449" s="6"/>
      <c r="J449" s="6"/>
      <c r="K449" s="6"/>
    </row>
    <row r="450" spans="5:11">
      <c r="E450" s="6"/>
      <c r="F450" s="6"/>
      <c r="G450" s="6"/>
      <c r="H450" s="6"/>
      <c r="I450" s="6"/>
      <c r="J450" s="6"/>
      <c r="K450" s="6"/>
    </row>
    <row r="451" spans="5:11">
      <c r="E451" s="6"/>
      <c r="F451" s="6"/>
      <c r="G451" s="6"/>
      <c r="H451" s="6"/>
      <c r="I451" s="6"/>
      <c r="J451" s="6"/>
      <c r="K451" s="6"/>
    </row>
    <row r="452" spans="5:11">
      <c r="E452" s="6"/>
      <c r="F452" s="6"/>
      <c r="G452" s="6"/>
      <c r="H452" s="6"/>
      <c r="I452" s="6"/>
      <c r="J452" s="6"/>
      <c r="K452" s="6"/>
    </row>
    <row r="453" spans="5:11">
      <c r="E453" s="6"/>
      <c r="F453" s="6"/>
      <c r="G453" s="6"/>
      <c r="H453" s="6"/>
      <c r="I453" s="6"/>
      <c r="J453" s="6"/>
      <c r="K453" s="6"/>
    </row>
    <row r="454" spans="5:11">
      <c r="E454" s="6"/>
      <c r="F454" s="6"/>
      <c r="G454" s="6"/>
      <c r="H454" s="6"/>
      <c r="I454" s="6"/>
      <c r="J454" s="6"/>
      <c r="K454" s="6"/>
    </row>
    <row r="455" spans="5:11">
      <c r="E455" s="6"/>
      <c r="F455" s="6"/>
      <c r="G455" s="6"/>
      <c r="H455" s="6"/>
      <c r="I455" s="6"/>
      <c r="J455" s="6"/>
      <c r="K455" s="6"/>
    </row>
    <row r="456" spans="5:11">
      <c r="E456" s="6"/>
      <c r="F456" s="6"/>
      <c r="G456" s="6"/>
      <c r="H456" s="6"/>
      <c r="I456" s="6"/>
      <c r="J456" s="6"/>
      <c r="K456" s="6"/>
    </row>
    <row r="457" spans="5:11">
      <c r="E457" s="6"/>
      <c r="F457" s="6"/>
      <c r="G457" s="6"/>
      <c r="H457" s="6"/>
      <c r="I457" s="6"/>
      <c r="J457" s="6"/>
      <c r="K457" s="6"/>
    </row>
    <row r="458" spans="5:11">
      <c r="E458" s="6"/>
      <c r="F458" s="6"/>
      <c r="G458" s="6"/>
      <c r="H458" s="6"/>
      <c r="I458" s="6"/>
      <c r="J458" s="6"/>
      <c r="K458" s="6"/>
    </row>
    <row r="459" spans="5:11">
      <c r="E459" s="6"/>
      <c r="F459" s="6"/>
      <c r="G459" s="6"/>
      <c r="H459" s="6"/>
      <c r="I459" s="6"/>
      <c r="J459" s="6"/>
      <c r="K459" s="6"/>
    </row>
    <row r="460" spans="5:11">
      <c r="E460" s="6"/>
      <c r="F460" s="6"/>
      <c r="G460" s="6"/>
      <c r="H460" s="6"/>
      <c r="I460" s="6"/>
      <c r="J460" s="6"/>
      <c r="K460" s="6"/>
    </row>
    <row r="461" spans="5:11">
      <c r="E461" s="6"/>
      <c r="F461" s="6"/>
      <c r="G461" s="6"/>
      <c r="H461" s="6"/>
      <c r="I461" s="6"/>
      <c r="J461" s="6"/>
      <c r="K461" s="6"/>
    </row>
    <row r="462" spans="5:11">
      <c r="E462" s="6"/>
      <c r="F462" s="6"/>
      <c r="G462" s="6"/>
      <c r="H462" s="6"/>
      <c r="I462" s="6"/>
      <c r="J462" s="6"/>
      <c r="K462" s="6"/>
    </row>
    <row r="463" spans="5:11">
      <c r="E463" s="6"/>
      <c r="F463" s="6"/>
      <c r="G463" s="6"/>
      <c r="H463" s="6"/>
      <c r="I463" s="6"/>
      <c r="J463" s="6"/>
      <c r="K463" s="6"/>
    </row>
    <row r="464" spans="5:11">
      <c r="E464" s="6"/>
      <c r="F464" s="6"/>
      <c r="G464" s="6"/>
      <c r="H464" s="6"/>
      <c r="I464" s="6"/>
      <c r="J464" s="6"/>
      <c r="K464" s="6"/>
    </row>
    <row r="465" spans="5:11">
      <c r="E465" s="6"/>
      <c r="F465" s="6"/>
      <c r="G465" s="6"/>
      <c r="H465" s="6"/>
      <c r="I465" s="6"/>
      <c r="J465" s="6"/>
      <c r="K465" s="6"/>
    </row>
    <row r="466" spans="5:11">
      <c r="E466" s="6"/>
      <c r="F466" s="6"/>
      <c r="G466" s="6"/>
      <c r="H466" s="6"/>
      <c r="I466" s="6"/>
      <c r="J466" s="6"/>
      <c r="K466" s="6"/>
    </row>
    <row r="467" spans="5:11">
      <c r="E467" s="6"/>
      <c r="F467" s="6"/>
      <c r="G467" s="6"/>
      <c r="H467" s="6"/>
      <c r="I467" s="6"/>
      <c r="J467" s="6"/>
      <c r="K467" s="6"/>
    </row>
    <row r="468" spans="5:11">
      <c r="E468" s="6"/>
      <c r="F468" s="6"/>
      <c r="G468" s="6"/>
      <c r="H468" s="6"/>
      <c r="I468" s="6"/>
      <c r="J468" s="6"/>
      <c r="K468" s="6"/>
    </row>
    <row r="469" spans="5:11">
      <c r="E469" s="6"/>
      <c r="F469" s="6"/>
      <c r="G469" s="6"/>
      <c r="H469" s="6"/>
      <c r="I469" s="6"/>
      <c r="J469" s="6"/>
      <c r="K469" s="6"/>
    </row>
    <row r="470" spans="5:11">
      <c r="E470" s="6"/>
      <c r="F470" s="6"/>
      <c r="G470" s="6"/>
      <c r="H470" s="6"/>
      <c r="I470" s="6"/>
      <c r="J470" s="6"/>
      <c r="K470" s="6"/>
    </row>
    <row r="471" spans="5:11">
      <c r="E471" s="6"/>
      <c r="F471" s="6"/>
      <c r="G471" s="6"/>
      <c r="H471" s="6"/>
      <c r="I471" s="6"/>
      <c r="J471" s="6"/>
      <c r="K471" s="6"/>
    </row>
    <row r="472" spans="5:11">
      <c r="E472" s="6"/>
      <c r="F472" s="6"/>
      <c r="G472" s="6"/>
      <c r="H472" s="6"/>
      <c r="I472" s="6"/>
      <c r="J472" s="6"/>
      <c r="K472" s="6"/>
    </row>
    <row r="473" spans="5:11">
      <c r="E473" s="6"/>
      <c r="F473" s="6"/>
      <c r="G473" s="6"/>
      <c r="H473" s="6"/>
      <c r="I473" s="6"/>
      <c r="J473" s="6"/>
      <c r="K473" s="6"/>
    </row>
    <row r="474" spans="5:11">
      <c r="E474" s="6"/>
      <c r="F474" s="6"/>
      <c r="G474" s="6"/>
      <c r="H474" s="6"/>
      <c r="I474" s="6"/>
      <c r="J474" s="6"/>
      <c r="K474" s="6"/>
    </row>
    <row r="475" spans="5:11">
      <c r="E475" s="6"/>
      <c r="F475" s="6"/>
      <c r="G475" s="6"/>
      <c r="H475" s="6"/>
      <c r="I475" s="6"/>
      <c r="J475" s="6"/>
      <c r="K475" s="6"/>
    </row>
    <row r="476" spans="5:11">
      <c r="E476" s="6"/>
      <c r="F476" s="6"/>
      <c r="G476" s="6"/>
      <c r="H476" s="6"/>
      <c r="I476" s="6"/>
      <c r="J476" s="6"/>
      <c r="K476" s="6"/>
    </row>
    <row r="477" spans="5:11">
      <c r="E477" s="6"/>
      <c r="F477" s="6"/>
      <c r="G477" s="6"/>
      <c r="H477" s="6"/>
      <c r="I477" s="6"/>
      <c r="J477" s="6"/>
      <c r="K477" s="6"/>
    </row>
    <row r="478" spans="5:11">
      <c r="E478" s="6"/>
      <c r="F478" s="6"/>
      <c r="G478" s="6"/>
      <c r="H478" s="6"/>
      <c r="I478" s="6"/>
      <c r="J478" s="6"/>
      <c r="K478" s="6"/>
    </row>
    <row r="479" spans="5:11">
      <c r="E479" s="6"/>
      <c r="F479" s="6"/>
      <c r="G479" s="6"/>
      <c r="H479" s="6"/>
      <c r="I479" s="6"/>
      <c r="J479" s="6"/>
      <c r="K479" s="6"/>
    </row>
    <row r="480" spans="5:11">
      <c r="E480" s="6"/>
      <c r="F480" s="6"/>
      <c r="G480" s="6"/>
      <c r="H480" s="6"/>
      <c r="I480" s="6"/>
      <c r="J480" s="6"/>
      <c r="K480" s="6"/>
    </row>
    <row r="481" spans="5:11">
      <c r="E481" s="6"/>
      <c r="F481" s="6"/>
      <c r="G481" s="6"/>
      <c r="H481" s="6"/>
      <c r="I481" s="6"/>
      <c r="J481" s="6"/>
      <c r="K481" s="6"/>
    </row>
    <row r="482" spans="5:11">
      <c r="E482" s="6"/>
      <c r="F482" s="6"/>
      <c r="G482" s="6"/>
      <c r="H482" s="6"/>
      <c r="I482" s="6"/>
      <c r="J482" s="6"/>
      <c r="K482" s="6"/>
    </row>
    <row r="483" spans="5:11">
      <c r="E483" s="6"/>
      <c r="F483" s="6"/>
      <c r="G483" s="6"/>
      <c r="H483" s="6"/>
      <c r="I483" s="6"/>
      <c r="J483" s="6"/>
      <c r="K483" s="6"/>
    </row>
    <row r="484" spans="5:11">
      <c r="E484" s="6"/>
      <c r="F484" s="6"/>
      <c r="G484" s="6"/>
      <c r="H484" s="6"/>
      <c r="I484" s="6"/>
      <c r="J484" s="6"/>
      <c r="K484" s="6"/>
    </row>
    <row r="485" spans="5:11">
      <c r="E485" s="6"/>
      <c r="F485" s="6"/>
      <c r="G485" s="6"/>
      <c r="H485" s="6"/>
      <c r="I485" s="6"/>
      <c r="J485" s="6"/>
      <c r="K485" s="6"/>
    </row>
    <row r="486" spans="5:11">
      <c r="E486" s="6"/>
      <c r="F486" s="6"/>
      <c r="G486" s="6"/>
      <c r="H486" s="6"/>
      <c r="I486" s="6"/>
      <c r="J486" s="6"/>
      <c r="K486" s="6"/>
    </row>
    <row r="487" spans="5:11">
      <c r="E487" s="6"/>
      <c r="F487" s="6"/>
      <c r="G487" s="6"/>
      <c r="H487" s="6"/>
      <c r="I487" s="6"/>
      <c r="J487" s="6"/>
      <c r="K487" s="6"/>
    </row>
    <row r="488" spans="5:11">
      <c r="E488" s="6"/>
      <c r="F488" s="6"/>
      <c r="G488" s="6"/>
      <c r="H488" s="6"/>
      <c r="I488" s="6"/>
      <c r="J488" s="6"/>
      <c r="K488" s="6"/>
    </row>
    <row r="489" spans="5:11">
      <c r="E489" s="6"/>
      <c r="F489" s="6"/>
      <c r="G489" s="6"/>
      <c r="H489" s="6"/>
      <c r="I489" s="6"/>
      <c r="J489" s="6"/>
      <c r="K489" s="6"/>
    </row>
    <row r="490" spans="5:11">
      <c r="E490" s="6"/>
      <c r="F490" s="6"/>
      <c r="G490" s="6"/>
      <c r="H490" s="6"/>
      <c r="I490" s="6"/>
      <c r="J490" s="6"/>
      <c r="K490" s="6"/>
    </row>
    <row r="491" spans="5:11">
      <c r="E491" s="6"/>
      <c r="F491" s="6"/>
      <c r="G491" s="6"/>
      <c r="H491" s="6"/>
      <c r="I491" s="6"/>
      <c r="J491" s="6"/>
      <c r="K491" s="6"/>
    </row>
    <row r="492" spans="5:11">
      <c r="E492" s="6"/>
      <c r="F492" s="6"/>
      <c r="G492" s="6"/>
      <c r="H492" s="6"/>
      <c r="I492" s="6"/>
      <c r="J492" s="6"/>
      <c r="K492" s="6"/>
    </row>
    <row r="493" spans="5:11">
      <c r="E493" s="6"/>
      <c r="F493" s="6"/>
      <c r="G493" s="6"/>
      <c r="H493" s="6"/>
      <c r="I493" s="6"/>
      <c r="J493" s="6"/>
      <c r="K493" s="6"/>
    </row>
    <row r="494" spans="5:11">
      <c r="E494" s="6"/>
      <c r="F494" s="6"/>
      <c r="G494" s="6"/>
      <c r="H494" s="6"/>
      <c r="I494" s="6"/>
      <c r="J494" s="6"/>
      <c r="K494" s="6"/>
    </row>
    <row r="495" spans="5:11">
      <c r="E495" s="6"/>
      <c r="F495" s="6"/>
      <c r="G495" s="6"/>
      <c r="H495" s="6"/>
      <c r="I495" s="6"/>
      <c r="J495" s="6"/>
      <c r="K495" s="6"/>
    </row>
    <row r="496" spans="5:11">
      <c r="E496" s="6"/>
      <c r="F496" s="6"/>
      <c r="G496" s="6"/>
      <c r="H496" s="6"/>
      <c r="I496" s="6"/>
      <c r="J496" s="6"/>
      <c r="K496" s="6"/>
    </row>
    <row r="497" spans="5:11">
      <c r="E497" s="6"/>
      <c r="F497" s="6"/>
      <c r="G497" s="6"/>
      <c r="H497" s="6"/>
      <c r="I497" s="6"/>
      <c r="J497" s="6"/>
      <c r="K497" s="6"/>
    </row>
    <row r="498" spans="5:11">
      <c r="E498" s="6"/>
      <c r="F498" s="6"/>
      <c r="G498" s="6"/>
      <c r="H498" s="6"/>
      <c r="I498" s="6"/>
      <c r="J498" s="6"/>
      <c r="K498" s="6"/>
    </row>
    <row r="499" spans="5:11">
      <c r="E499" s="6"/>
      <c r="F499" s="6"/>
      <c r="G499" s="6"/>
      <c r="H499" s="6"/>
      <c r="I499" s="6"/>
      <c r="J499" s="6"/>
      <c r="K499" s="6"/>
    </row>
    <row r="500" spans="5:11">
      <c r="E500" s="6"/>
      <c r="F500" s="6"/>
      <c r="G500" s="6"/>
      <c r="H500" s="6"/>
      <c r="I500" s="6"/>
      <c r="J500" s="6"/>
      <c r="K500" s="6"/>
    </row>
    <row r="501" spans="5:11">
      <c r="E501" s="6"/>
      <c r="F501" s="6"/>
      <c r="G501" s="6"/>
      <c r="H501" s="6"/>
      <c r="I501" s="6"/>
      <c r="J501" s="6"/>
      <c r="K501" s="6"/>
    </row>
    <row r="502" spans="5:11">
      <c r="E502" s="6"/>
      <c r="F502" s="6"/>
      <c r="G502" s="6"/>
      <c r="H502" s="6"/>
      <c r="I502" s="6"/>
      <c r="J502" s="6"/>
      <c r="K502" s="6"/>
    </row>
    <row r="503" spans="5:11">
      <c r="E503" s="6"/>
      <c r="F503" s="6"/>
      <c r="G503" s="6"/>
      <c r="H503" s="6"/>
      <c r="I503" s="6"/>
      <c r="J503" s="6"/>
      <c r="K503" s="6"/>
    </row>
    <row r="504" spans="5:11">
      <c r="E504" s="6"/>
      <c r="F504" s="6"/>
      <c r="G504" s="6"/>
      <c r="H504" s="6"/>
      <c r="I504" s="6"/>
      <c r="J504" s="6"/>
      <c r="K504" s="6"/>
    </row>
    <row r="505" spans="5:11">
      <c r="E505" s="6"/>
      <c r="F505" s="6"/>
      <c r="G505" s="6"/>
      <c r="H505" s="6"/>
      <c r="I505" s="6"/>
      <c r="J505" s="6"/>
      <c r="K505" s="6"/>
    </row>
    <row r="506" spans="5:11">
      <c r="E506" s="6"/>
      <c r="F506" s="6"/>
      <c r="G506" s="6"/>
      <c r="H506" s="6"/>
      <c r="I506" s="6"/>
      <c r="J506" s="6"/>
      <c r="K506" s="6"/>
    </row>
    <row r="507" spans="5:11">
      <c r="E507" s="6"/>
      <c r="F507" s="6"/>
      <c r="G507" s="6"/>
      <c r="H507" s="6"/>
      <c r="I507" s="6"/>
      <c r="J507" s="6"/>
      <c r="K507" s="6"/>
    </row>
    <row r="508" spans="5:11">
      <c r="E508" s="6"/>
      <c r="F508" s="6"/>
      <c r="G508" s="6"/>
      <c r="H508" s="6"/>
      <c r="I508" s="6"/>
      <c r="J508" s="6"/>
      <c r="K508" s="6"/>
    </row>
    <row r="509" spans="5:11">
      <c r="E509" s="6"/>
      <c r="F509" s="6"/>
      <c r="G509" s="6"/>
      <c r="H509" s="6"/>
      <c r="I509" s="6"/>
      <c r="J509" s="6"/>
      <c r="K509" s="6"/>
    </row>
    <row r="510" spans="5:11">
      <c r="E510" s="6"/>
      <c r="F510" s="6"/>
      <c r="G510" s="6"/>
      <c r="H510" s="6"/>
      <c r="I510" s="6"/>
      <c r="J510" s="6"/>
      <c r="K510" s="6"/>
    </row>
    <row r="511" spans="5:11">
      <c r="E511" s="6"/>
      <c r="F511" s="6"/>
      <c r="G511" s="6"/>
      <c r="H511" s="6"/>
      <c r="I511" s="6"/>
      <c r="J511" s="6"/>
      <c r="K511" s="6"/>
    </row>
    <row r="512" spans="5:11">
      <c r="E512" s="6"/>
      <c r="F512" s="6"/>
      <c r="G512" s="6"/>
      <c r="H512" s="6"/>
      <c r="I512" s="6"/>
      <c r="J512" s="6"/>
      <c r="K512" s="6"/>
    </row>
    <row r="513" spans="5:11">
      <c r="E513" s="6"/>
      <c r="F513" s="6"/>
      <c r="G513" s="6"/>
      <c r="H513" s="6"/>
      <c r="I513" s="6"/>
      <c r="J513" s="6"/>
      <c r="K513" s="6"/>
    </row>
    <row r="514" spans="5:11">
      <c r="E514" s="6"/>
      <c r="F514" s="6"/>
      <c r="G514" s="6"/>
      <c r="H514" s="6"/>
      <c r="I514" s="6"/>
      <c r="J514" s="6"/>
      <c r="K514" s="6"/>
    </row>
    <row r="515" spans="5:11">
      <c r="E515" s="6"/>
      <c r="F515" s="6"/>
      <c r="G515" s="6"/>
      <c r="H515" s="6"/>
      <c r="I515" s="6"/>
      <c r="J515" s="6"/>
      <c r="K515" s="6"/>
    </row>
    <row r="516" spans="5:11">
      <c r="E516" s="6"/>
      <c r="F516" s="6"/>
      <c r="G516" s="6"/>
      <c r="H516" s="6"/>
      <c r="I516" s="6"/>
      <c r="J516" s="6"/>
      <c r="K516" s="6"/>
    </row>
    <row r="517" spans="5:11">
      <c r="E517" s="6"/>
      <c r="F517" s="6"/>
      <c r="G517" s="6"/>
      <c r="H517" s="6"/>
      <c r="I517" s="6"/>
      <c r="J517" s="6"/>
      <c r="K517" s="6"/>
    </row>
    <row r="518" spans="5:11">
      <c r="E518" s="6"/>
      <c r="F518" s="6"/>
      <c r="G518" s="6"/>
      <c r="H518" s="6"/>
      <c r="I518" s="6"/>
      <c r="J518" s="6"/>
      <c r="K518" s="6"/>
    </row>
    <row r="519" spans="5:11">
      <c r="E519" s="6"/>
      <c r="F519" s="6"/>
      <c r="G519" s="6"/>
      <c r="H519" s="6"/>
      <c r="I519" s="6"/>
      <c r="J519" s="6"/>
      <c r="K519" s="6"/>
    </row>
    <row r="520" spans="5:11">
      <c r="E520" s="6"/>
      <c r="F520" s="6"/>
      <c r="G520" s="6"/>
      <c r="H520" s="6"/>
      <c r="I520" s="6"/>
      <c r="J520" s="6"/>
      <c r="K520" s="6"/>
    </row>
    <row r="521" spans="5:11">
      <c r="E521" s="6"/>
      <c r="F521" s="6"/>
      <c r="G521" s="6"/>
      <c r="H521" s="6"/>
      <c r="I521" s="6"/>
      <c r="J521" s="6"/>
      <c r="K521" s="6"/>
    </row>
    <row r="522" spans="5:11">
      <c r="E522" s="6"/>
      <c r="F522" s="6"/>
      <c r="G522" s="6"/>
      <c r="H522" s="6"/>
      <c r="I522" s="6"/>
      <c r="J522" s="6"/>
      <c r="K522" s="6"/>
    </row>
    <row r="523" spans="5:11">
      <c r="E523" s="6"/>
      <c r="F523" s="6"/>
      <c r="G523" s="6"/>
      <c r="H523" s="6"/>
      <c r="I523" s="6"/>
      <c r="J523" s="6"/>
      <c r="K523" s="6"/>
    </row>
    <row r="524" spans="5:11">
      <c r="E524" s="6"/>
      <c r="F524" s="6"/>
      <c r="G524" s="6"/>
      <c r="H524" s="6"/>
      <c r="I524" s="6"/>
      <c r="J524" s="6"/>
      <c r="K524" s="6"/>
    </row>
    <row r="525" spans="5:11">
      <c r="E525" s="6"/>
      <c r="F525" s="6"/>
      <c r="G525" s="6"/>
      <c r="H525" s="6"/>
      <c r="I525" s="6"/>
      <c r="J525" s="6"/>
      <c r="K525" s="6"/>
    </row>
    <row r="526" spans="5:11">
      <c r="E526" s="6"/>
      <c r="F526" s="6"/>
      <c r="G526" s="6"/>
      <c r="H526" s="6"/>
      <c r="I526" s="6"/>
      <c r="J526" s="6"/>
      <c r="K526" s="6"/>
    </row>
    <row r="527" spans="5:11">
      <c r="E527" s="6"/>
      <c r="F527" s="6"/>
      <c r="G527" s="6"/>
      <c r="H527" s="6"/>
      <c r="I527" s="6"/>
      <c r="J527" s="6"/>
      <c r="K527" s="6"/>
    </row>
    <row r="528" spans="5:11">
      <c r="E528" s="6"/>
      <c r="F528" s="6"/>
      <c r="G528" s="6"/>
      <c r="H528" s="6"/>
      <c r="I528" s="6"/>
      <c r="J528" s="6"/>
      <c r="K528" s="6"/>
    </row>
    <row r="529" spans="5:11">
      <c r="E529" s="6"/>
      <c r="F529" s="6"/>
      <c r="G529" s="6"/>
      <c r="H529" s="6"/>
      <c r="I529" s="6"/>
      <c r="J529" s="6"/>
      <c r="K529" s="6"/>
    </row>
    <row r="530" spans="5:11">
      <c r="E530" s="6"/>
      <c r="F530" s="6"/>
      <c r="G530" s="6"/>
      <c r="H530" s="6"/>
      <c r="I530" s="6"/>
      <c r="J530" s="6"/>
      <c r="K530" s="6"/>
    </row>
    <row r="531" spans="5:11">
      <c r="E531" s="6"/>
      <c r="F531" s="6"/>
      <c r="G531" s="6"/>
      <c r="H531" s="6"/>
      <c r="I531" s="6"/>
      <c r="J531" s="6"/>
      <c r="K531" s="6"/>
    </row>
    <row r="532" spans="5:11">
      <c r="E532" s="6"/>
      <c r="F532" s="6"/>
      <c r="G532" s="6"/>
      <c r="H532" s="6"/>
      <c r="I532" s="6"/>
      <c r="J532" s="6"/>
      <c r="K532" s="6"/>
    </row>
    <row r="533" spans="5:11">
      <c r="E533" s="6"/>
      <c r="F533" s="6"/>
      <c r="G533" s="6"/>
      <c r="H533" s="6"/>
      <c r="I533" s="6"/>
      <c r="J533" s="6"/>
      <c r="K533" s="6"/>
    </row>
    <row r="534" spans="5:11">
      <c r="E534" s="6"/>
      <c r="F534" s="6"/>
      <c r="G534" s="6"/>
      <c r="H534" s="6"/>
      <c r="I534" s="6"/>
      <c r="J534" s="6"/>
      <c r="K534" s="6"/>
    </row>
    <row r="535" spans="5:11">
      <c r="E535" s="6"/>
      <c r="F535" s="6"/>
      <c r="G535" s="6"/>
      <c r="H535" s="6"/>
      <c r="I535" s="6"/>
      <c r="J535" s="6"/>
      <c r="K535" s="6"/>
    </row>
    <row r="536" spans="5:11">
      <c r="E536" s="6"/>
      <c r="F536" s="6"/>
      <c r="G536" s="6"/>
      <c r="H536" s="6"/>
      <c r="I536" s="6"/>
      <c r="J536" s="6"/>
      <c r="K536" s="6"/>
    </row>
    <row r="537" spans="5:11">
      <c r="E537" s="6"/>
      <c r="F537" s="6"/>
      <c r="G537" s="6"/>
      <c r="H537" s="6"/>
      <c r="I537" s="6"/>
      <c r="J537" s="6"/>
      <c r="K537" s="6"/>
    </row>
    <row r="538" spans="5:11">
      <c r="E538" s="6"/>
      <c r="F538" s="6"/>
      <c r="G538" s="6"/>
      <c r="H538" s="6"/>
      <c r="I538" s="6"/>
      <c r="J538" s="6"/>
      <c r="K538" s="6"/>
    </row>
    <row r="539" spans="5:11">
      <c r="E539" s="6"/>
      <c r="F539" s="6"/>
      <c r="G539" s="6"/>
      <c r="H539" s="6"/>
      <c r="I539" s="6"/>
      <c r="J539" s="6"/>
      <c r="K539" s="6"/>
    </row>
    <row r="540" spans="5:11">
      <c r="E540" s="6"/>
      <c r="F540" s="6"/>
      <c r="G540" s="6"/>
      <c r="H540" s="6"/>
      <c r="I540" s="6"/>
      <c r="J540" s="6"/>
      <c r="K540" s="6"/>
    </row>
    <row r="541" spans="5:11">
      <c r="E541" s="6"/>
      <c r="F541" s="6"/>
      <c r="G541" s="6"/>
      <c r="H541" s="6"/>
      <c r="I541" s="6"/>
      <c r="J541" s="6"/>
      <c r="K541" s="6"/>
    </row>
    <row r="542" spans="5:11">
      <c r="E542" s="6"/>
      <c r="F542" s="6"/>
      <c r="G542" s="6"/>
      <c r="H542" s="6"/>
      <c r="I542" s="6"/>
      <c r="J542" s="6"/>
      <c r="K542" s="6"/>
    </row>
    <row r="543" spans="5:11">
      <c r="E543" s="6"/>
      <c r="F543" s="6"/>
      <c r="G543" s="6"/>
      <c r="H543" s="6"/>
      <c r="I543" s="6"/>
      <c r="J543" s="6"/>
      <c r="K543" s="6"/>
    </row>
    <row r="544" spans="5:11">
      <c r="E544" s="6"/>
      <c r="F544" s="6"/>
      <c r="G544" s="6"/>
      <c r="H544" s="6"/>
      <c r="I544" s="6"/>
      <c r="J544" s="6"/>
      <c r="K544" s="6"/>
    </row>
    <row r="545" spans="5:11">
      <c r="E545" s="6"/>
      <c r="F545" s="6"/>
      <c r="G545" s="6"/>
      <c r="H545" s="6"/>
      <c r="I545" s="6"/>
      <c r="J545" s="6"/>
      <c r="K545" s="6"/>
    </row>
    <row r="546" spans="5:11">
      <c r="E546" s="6"/>
      <c r="F546" s="6"/>
      <c r="G546" s="6"/>
      <c r="H546" s="6"/>
      <c r="I546" s="6"/>
      <c r="J546" s="6"/>
      <c r="K546" s="6"/>
    </row>
    <row r="547" spans="5:11">
      <c r="E547" s="6"/>
      <c r="F547" s="6"/>
      <c r="G547" s="6"/>
      <c r="H547" s="6"/>
      <c r="I547" s="6"/>
      <c r="J547" s="6"/>
      <c r="K547" s="6"/>
    </row>
    <row r="548" spans="5:11">
      <c r="E548" s="6"/>
      <c r="F548" s="6"/>
      <c r="G548" s="6"/>
      <c r="H548" s="6"/>
      <c r="I548" s="6"/>
      <c r="J548" s="6"/>
      <c r="K548" s="6"/>
    </row>
    <row r="549" spans="5:11">
      <c r="E549" s="6"/>
      <c r="F549" s="6"/>
      <c r="G549" s="6"/>
      <c r="H549" s="6"/>
      <c r="I549" s="6"/>
      <c r="J549" s="6"/>
      <c r="K549" s="6"/>
    </row>
    <row r="550" spans="5:11">
      <c r="E550" s="6"/>
      <c r="F550" s="6"/>
      <c r="G550" s="6"/>
      <c r="H550" s="6"/>
      <c r="I550" s="6"/>
      <c r="J550" s="6"/>
      <c r="K550" s="6"/>
    </row>
    <row r="551" spans="5:11">
      <c r="E551" s="6"/>
      <c r="F551" s="6"/>
      <c r="G551" s="6"/>
      <c r="H551" s="6"/>
      <c r="I551" s="6"/>
      <c r="J551" s="6"/>
      <c r="K551" s="6"/>
    </row>
    <row r="552" spans="5:11">
      <c r="E552" s="6"/>
      <c r="F552" s="6"/>
      <c r="G552" s="6"/>
      <c r="H552" s="6"/>
      <c r="I552" s="6"/>
      <c r="J552" s="6"/>
      <c r="K552" s="6"/>
    </row>
    <row r="553" spans="5:11">
      <c r="E553" s="6"/>
      <c r="F553" s="6"/>
      <c r="G553" s="6"/>
      <c r="H553" s="6"/>
      <c r="I553" s="6"/>
      <c r="J553" s="6"/>
      <c r="K553" s="6"/>
    </row>
    <row r="554" spans="5:11">
      <c r="E554" s="6"/>
      <c r="F554" s="6"/>
      <c r="G554" s="6"/>
      <c r="H554" s="6"/>
      <c r="I554" s="6"/>
      <c r="J554" s="6"/>
      <c r="K554" s="6"/>
    </row>
    <row r="555" spans="5:11">
      <c r="E555" s="6"/>
      <c r="F555" s="6"/>
      <c r="G555" s="6"/>
      <c r="H555" s="6"/>
      <c r="I555" s="6"/>
      <c r="J555" s="6"/>
      <c r="K555" s="6"/>
    </row>
    <row r="556" spans="5:11">
      <c r="E556" s="6"/>
      <c r="F556" s="6"/>
      <c r="G556" s="6"/>
      <c r="H556" s="6"/>
      <c r="I556" s="6"/>
      <c r="J556" s="6"/>
      <c r="K556" s="6"/>
    </row>
    <row r="557" spans="5:11">
      <c r="E557" s="6"/>
      <c r="F557" s="6"/>
      <c r="G557" s="6"/>
      <c r="H557" s="6"/>
      <c r="I557" s="6"/>
      <c r="J557" s="6"/>
      <c r="K557" s="6"/>
    </row>
    <row r="558" spans="5:11">
      <c r="E558" s="6"/>
      <c r="F558" s="6"/>
      <c r="G558" s="6"/>
      <c r="H558" s="6"/>
      <c r="I558" s="6"/>
      <c r="J558" s="6"/>
      <c r="K558" s="6"/>
    </row>
    <row r="559" spans="5:11">
      <c r="E559" s="6"/>
      <c r="F559" s="6"/>
      <c r="G559" s="6"/>
      <c r="H559" s="6"/>
      <c r="I559" s="6"/>
      <c r="J559" s="6"/>
      <c r="K559" s="6"/>
    </row>
    <row r="560" spans="5:11">
      <c r="E560" s="6"/>
      <c r="F560" s="6"/>
      <c r="G560" s="6"/>
      <c r="H560" s="6"/>
      <c r="I560" s="6"/>
      <c r="J560" s="6"/>
      <c r="K560" s="6"/>
    </row>
    <row r="561" spans="5:11">
      <c r="E561" s="6"/>
      <c r="F561" s="6"/>
      <c r="G561" s="6"/>
      <c r="H561" s="6"/>
      <c r="I561" s="6"/>
      <c r="J561" s="6"/>
      <c r="K561" s="6"/>
    </row>
    <row r="562" spans="5:11">
      <c r="E562" s="6"/>
      <c r="F562" s="6"/>
      <c r="G562" s="6"/>
      <c r="H562" s="6"/>
      <c r="I562" s="6"/>
      <c r="J562" s="6"/>
      <c r="K562" s="6"/>
    </row>
    <row r="563" spans="5:11">
      <c r="E563" s="6"/>
      <c r="F563" s="6"/>
      <c r="G563" s="6"/>
      <c r="H563" s="6"/>
      <c r="I563" s="6"/>
      <c r="J563" s="6"/>
      <c r="K563" s="6"/>
    </row>
    <row r="564" spans="5:11">
      <c r="E564" s="6"/>
      <c r="F564" s="6"/>
      <c r="G564" s="6"/>
      <c r="H564" s="6"/>
      <c r="I564" s="6"/>
      <c r="J564" s="6"/>
      <c r="K564" s="6"/>
    </row>
    <row r="565" spans="5:11">
      <c r="E565" s="6"/>
      <c r="F565" s="6"/>
      <c r="G565" s="6"/>
      <c r="H565" s="6"/>
      <c r="I565" s="6"/>
      <c r="J565" s="6"/>
      <c r="K565" s="6"/>
    </row>
    <row r="566" spans="5:11">
      <c r="E566" s="6"/>
      <c r="F566" s="6"/>
      <c r="G566" s="6"/>
      <c r="H566" s="6"/>
      <c r="I566" s="6"/>
      <c r="J566" s="6"/>
      <c r="K566" s="6"/>
    </row>
    <row r="567" spans="5:11">
      <c r="E567" s="6"/>
      <c r="F567" s="6"/>
      <c r="G567" s="6"/>
      <c r="H567" s="6"/>
      <c r="I567" s="6"/>
      <c r="J567" s="6"/>
      <c r="K567" s="6"/>
    </row>
    <row r="568" spans="5:11">
      <c r="E568" s="6"/>
      <c r="F568" s="6"/>
      <c r="G568" s="6"/>
      <c r="H568" s="6"/>
      <c r="I568" s="6"/>
      <c r="J568" s="6"/>
      <c r="K568" s="6"/>
    </row>
    <row r="569" spans="5:11">
      <c r="E569" s="6"/>
      <c r="F569" s="6"/>
      <c r="G569" s="6"/>
      <c r="H569" s="6"/>
      <c r="I569" s="6"/>
      <c r="J569" s="6"/>
      <c r="K569" s="6"/>
    </row>
    <row r="570" spans="5:11">
      <c r="E570" s="6"/>
      <c r="F570" s="6"/>
      <c r="G570" s="6"/>
      <c r="H570" s="6"/>
      <c r="I570" s="6"/>
      <c r="J570" s="6"/>
      <c r="K570" s="6"/>
    </row>
    <row r="571" spans="5:11">
      <c r="E571" s="6"/>
      <c r="F571" s="6"/>
      <c r="G571" s="6"/>
      <c r="H571" s="6"/>
      <c r="I571" s="6"/>
      <c r="J571" s="6"/>
      <c r="K571" s="6"/>
    </row>
    <row r="572" spans="5:11">
      <c r="E572" s="6"/>
      <c r="F572" s="6"/>
      <c r="G572" s="6"/>
      <c r="H572" s="6"/>
      <c r="I572" s="6"/>
      <c r="J572" s="6"/>
      <c r="K572" s="6"/>
    </row>
    <row r="573" spans="5:11">
      <c r="E573" s="6"/>
      <c r="F573" s="6"/>
      <c r="G573" s="6"/>
      <c r="H573" s="6"/>
      <c r="I573" s="6"/>
      <c r="J573" s="6"/>
      <c r="K573" s="6"/>
    </row>
    <row r="574" spans="5:11">
      <c r="E574" s="6"/>
      <c r="F574" s="6"/>
      <c r="G574" s="6"/>
      <c r="H574" s="6"/>
      <c r="I574" s="6"/>
      <c r="J574" s="6"/>
      <c r="K574" s="6"/>
    </row>
    <row r="575" spans="5:11">
      <c r="E575" s="6"/>
      <c r="F575" s="6"/>
      <c r="G575" s="6"/>
      <c r="H575" s="6"/>
      <c r="I575" s="6"/>
      <c r="J575" s="6"/>
      <c r="K575" s="6"/>
    </row>
    <row r="576" spans="5:11">
      <c r="E576" s="6"/>
      <c r="F576" s="6"/>
      <c r="G576" s="6"/>
      <c r="H576" s="6"/>
      <c r="I576" s="6"/>
      <c r="J576" s="6"/>
      <c r="K576" s="6"/>
    </row>
    <row r="577" spans="5:11">
      <c r="E577" s="6"/>
      <c r="F577" s="6"/>
      <c r="G577" s="6"/>
      <c r="H577" s="6"/>
      <c r="I577" s="6"/>
      <c r="J577" s="6"/>
      <c r="K577" s="6"/>
    </row>
    <row r="578" spans="5:11">
      <c r="E578" s="6"/>
      <c r="F578" s="6"/>
      <c r="G578" s="6"/>
      <c r="H578" s="6"/>
      <c r="I578" s="6"/>
      <c r="J578" s="6"/>
      <c r="K578" s="6"/>
    </row>
    <row r="579" spans="5:11">
      <c r="E579" s="6"/>
      <c r="F579" s="6"/>
      <c r="G579" s="6"/>
      <c r="H579" s="6"/>
      <c r="I579" s="6"/>
      <c r="J579" s="6"/>
      <c r="K579" s="6"/>
    </row>
    <row r="580" spans="5:11">
      <c r="E580" s="6"/>
      <c r="F580" s="6"/>
      <c r="G580" s="6"/>
      <c r="H580" s="6"/>
      <c r="I580" s="6"/>
      <c r="J580" s="6"/>
      <c r="K580" s="6"/>
    </row>
    <row r="581" spans="5:11">
      <c r="E581" s="6"/>
      <c r="F581" s="6"/>
      <c r="G581" s="6"/>
      <c r="H581" s="6"/>
      <c r="I581" s="6"/>
      <c r="J581" s="6"/>
      <c r="K581" s="6"/>
    </row>
    <row r="582" spans="5:11">
      <c r="E582" s="6"/>
      <c r="F582" s="6"/>
      <c r="G582" s="6"/>
      <c r="H582" s="6"/>
      <c r="I582" s="6"/>
      <c r="J582" s="6"/>
      <c r="K582" s="6"/>
    </row>
    <row r="583" spans="5:11">
      <c r="E583" s="6"/>
      <c r="F583" s="6"/>
      <c r="G583" s="6"/>
      <c r="H583" s="6"/>
      <c r="I583" s="6"/>
      <c r="J583" s="6"/>
      <c r="K583" s="6"/>
    </row>
    <row r="584" spans="5:11">
      <c r="E584" s="6"/>
      <c r="F584" s="6"/>
      <c r="G584" s="6"/>
      <c r="H584" s="6"/>
      <c r="I584" s="6"/>
      <c r="J584" s="6"/>
      <c r="K584" s="6"/>
    </row>
    <row r="585" spans="5:11">
      <c r="E585" s="6"/>
      <c r="F585" s="6"/>
      <c r="G585" s="6"/>
      <c r="H585" s="6"/>
      <c r="I585" s="6"/>
      <c r="J585" s="6"/>
      <c r="K585" s="6"/>
    </row>
    <row r="586" spans="5:11">
      <c r="E586" s="6"/>
      <c r="F586" s="6"/>
      <c r="G586" s="6"/>
      <c r="H586" s="6"/>
      <c r="I586" s="6"/>
      <c r="J586" s="6"/>
      <c r="K586" s="6"/>
    </row>
    <row r="587" spans="5:11">
      <c r="E587" s="6"/>
      <c r="F587" s="6"/>
      <c r="G587" s="6"/>
      <c r="H587" s="6"/>
      <c r="I587" s="6"/>
      <c r="J587" s="6"/>
      <c r="K587" s="6"/>
    </row>
    <row r="588" spans="5:11">
      <c r="E588" s="6"/>
      <c r="F588" s="6"/>
      <c r="G588" s="6"/>
      <c r="H588" s="6"/>
      <c r="I588" s="6"/>
      <c r="J588" s="6"/>
      <c r="K588" s="6"/>
    </row>
    <row r="589" spans="5:11">
      <c r="E589" s="6"/>
      <c r="F589" s="6"/>
      <c r="G589" s="6"/>
      <c r="H589" s="6"/>
      <c r="I589" s="6"/>
      <c r="J589" s="6"/>
      <c r="K589" s="6"/>
    </row>
    <row r="590" spans="5:11">
      <c r="E590" s="6"/>
      <c r="F590" s="6"/>
      <c r="G590" s="6"/>
      <c r="H590" s="6"/>
      <c r="I590" s="6"/>
      <c r="J590" s="6"/>
      <c r="K590" s="6"/>
    </row>
    <row r="591" spans="5:11">
      <c r="E591" s="6"/>
      <c r="F591" s="6"/>
      <c r="G591" s="6"/>
      <c r="H591" s="6"/>
      <c r="I591" s="6"/>
      <c r="J591" s="6"/>
      <c r="K591" s="6"/>
    </row>
    <row r="592" spans="5:11">
      <c r="E592" s="6"/>
      <c r="F592" s="6"/>
      <c r="G592" s="6"/>
      <c r="H592" s="6"/>
      <c r="I592" s="6"/>
      <c r="J592" s="6"/>
      <c r="K592" s="6"/>
    </row>
    <row r="593" spans="5:11">
      <c r="E593" s="6"/>
      <c r="F593" s="6"/>
      <c r="G593" s="6"/>
      <c r="H593" s="6"/>
      <c r="I593" s="6"/>
      <c r="J593" s="6"/>
      <c r="K593" s="6"/>
    </row>
    <row r="594" spans="5:11">
      <c r="E594" s="6"/>
      <c r="F594" s="6"/>
      <c r="G594" s="6"/>
      <c r="H594" s="6"/>
      <c r="I594" s="6"/>
      <c r="J594" s="6"/>
      <c r="K594" s="6"/>
    </row>
    <row r="595" spans="5:11">
      <c r="E595" s="6"/>
      <c r="F595" s="6"/>
      <c r="G595" s="6"/>
      <c r="H595" s="6"/>
      <c r="I595" s="6"/>
      <c r="J595" s="6"/>
      <c r="K595" s="6"/>
    </row>
    <row r="596" spans="5:11">
      <c r="E596" s="6"/>
      <c r="F596" s="6"/>
      <c r="G596" s="6"/>
      <c r="H596" s="6"/>
      <c r="I596" s="6"/>
      <c r="J596" s="6"/>
      <c r="K596" s="6"/>
    </row>
    <row r="597" spans="5:11">
      <c r="E597" s="6"/>
      <c r="F597" s="6"/>
      <c r="G597" s="6"/>
      <c r="H597" s="6"/>
      <c r="I597" s="6"/>
      <c r="J597" s="6"/>
      <c r="K597" s="6"/>
    </row>
    <row r="598" spans="5:11">
      <c r="E598" s="6"/>
      <c r="F598" s="6"/>
      <c r="G598" s="6"/>
      <c r="H598" s="6"/>
      <c r="I598" s="6"/>
      <c r="J598" s="6"/>
      <c r="K598" s="6"/>
    </row>
    <row r="599" spans="5:11">
      <c r="E599" s="6"/>
      <c r="F599" s="6"/>
      <c r="G599" s="6"/>
      <c r="H599" s="6"/>
      <c r="I599" s="6"/>
      <c r="J599" s="6"/>
      <c r="K599" s="6"/>
    </row>
    <row r="600" spans="5:11">
      <c r="E600" s="6"/>
      <c r="F600" s="6"/>
      <c r="G600" s="6"/>
      <c r="H600" s="6"/>
      <c r="I600" s="6"/>
      <c r="J600" s="6"/>
      <c r="K600" s="6"/>
    </row>
    <row r="601" spans="5:11">
      <c r="E601" s="6"/>
      <c r="F601" s="6"/>
      <c r="G601" s="6"/>
      <c r="H601" s="6"/>
      <c r="I601" s="6"/>
      <c r="J601" s="6"/>
      <c r="K601" s="6"/>
    </row>
    <row r="602" spans="5:11">
      <c r="E602" s="6"/>
      <c r="F602" s="6"/>
      <c r="G602" s="6"/>
      <c r="H602" s="6"/>
      <c r="I602" s="6"/>
      <c r="J602" s="6"/>
      <c r="K602" s="6"/>
    </row>
    <row r="603" spans="5:11">
      <c r="E603" s="6"/>
      <c r="F603" s="6"/>
      <c r="G603" s="6"/>
      <c r="H603" s="6"/>
      <c r="I603" s="6"/>
      <c r="J603" s="6"/>
      <c r="K603" s="6"/>
    </row>
    <row r="604" spans="5:11">
      <c r="E604" s="6"/>
      <c r="F604" s="6"/>
      <c r="G604" s="6"/>
      <c r="H604" s="6"/>
      <c r="I604" s="6"/>
      <c r="J604" s="6"/>
      <c r="K604" s="6"/>
    </row>
    <row r="605" spans="5:11">
      <c r="E605" s="6"/>
      <c r="F605" s="6"/>
      <c r="G605" s="6"/>
      <c r="H605" s="6"/>
      <c r="I605" s="6"/>
      <c r="J605" s="6"/>
      <c r="K605" s="6"/>
    </row>
    <row r="606" spans="5:11">
      <c r="E606" s="6"/>
      <c r="F606" s="6"/>
      <c r="G606" s="6"/>
      <c r="H606" s="6"/>
      <c r="I606" s="6"/>
      <c r="J606" s="6"/>
      <c r="K606" s="6"/>
    </row>
    <row r="607" spans="5:11">
      <c r="E607" s="6"/>
      <c r="F607" s="6"/>
      <c r="G607" s="6"/>
      <c r="H607" s="6"/>
      <c r="I607" s="6"/>
      <c r="J607" s="6"/>
      <c r="K607" s="6"/>
    </row>
    <row r="608" spans="5:11">
      <c r="E608" s="6"/>
      <c r="F608" s="6"/>
      <c r="G608" s="6"/>
      <c r="H608" s="6"/>
      <c r="I608" s="6"/>
      <c r="J608" s="6"/>
      <c r="K608" s="6"/>
    </row>
    <row r="609" spans="5:11">
      <c r="E609" s="6"/>
      <c r="F609" s="6"/>
      <c r="G609" s="6"/>
      <c r="H609" s="6"/>
      <c r="I609" s="6"/>
      <c r="J609" s="6"/>
      <c r="K609" s="6"/>
    </row>
    <row r="610" spans="5:11">
      <c r="E610" s="6"/>
      <c r="F610" s="6"/>
      <c r="G610" s="6"/>
      <c r="H610" s="6"/>
      <c r="I610" s="6"/>
      <c r="J610" s="6"/>
      <c r="K610" s="6"/>
    </row>
    <row r="611" spans="5:11">
      <c r="E611" s="6"/>
      <c r="F611" s="6"/>
      <c r="G611" s="6"/>
      <c r="H611" s="6"/>
      <c r="I611" s="6"/>
      <c r="J611" s="6"/>
      <c r="K611" s="6"/>
    </row>
    <row r="612" spans="5:11">
      <c r="E612" s="6"/>
      <c r="F612" s="6"/>
      <c r="G612" s="6"/>
      <c r="H612" s="6"/>
      <c r="I612" s="6"/>
      <c r="J612" s="6"/>
      <c r="K612" s="6"/>
    </row>
    <row r="613" spans="5:11">
      <c r="E613" s="6"/>
      <c r="F613" s="6"/>
      <c r="G613" s="6"/>
      <c r="H613" s="6"/>
      <c r="I613" s="6"/>
      <c r="J613" s="6"/>
      <c r="K613" s="6"/>
    </row>
    <row r="614" spans="5:11">
      <c r="E614" s="6"/>
      <c r="F614" s="6"/>
      <c r="G614" s="6"/>
      <c r="H614" s="6"/>
      <c r="I614" s="6"/>
      <c r="J614" s="6"/>
      <c r="K614" s="6"/>
    </row>
    <row r="615" spans="5:11">
      <c r="E615" s="6"/>
      <c r="F615" s="6"/>
      <c r="G615" s="6"/>
      <c r="H615" s="6"/>
      <c r="I615" s="6"/>
      <c r="J615" s="6"/>
      <c r="K615" s="6"/>
    </row>
    <row r="616" spans="5:11">
      <c r="E616" s="6"/>
      <c r="F616" s="6"/>
      <c r="G616" s="6"/>
      <c r="H616" s="6"/>
      <c r="I616" s="6"/>
      <c r="J616" s="6"/>
      <c r="K616" s="6"/>
    </row>
    <row r="617" spans="5:11">
      <c r="E617" s="6"/>
      <c r="F617" s="6"/>
      <c r="G617" s="6"/>
      <c r="H617" s="6"/>
      <c r="I617" s="6"/>
      <c r="J617" s="6"/>
      <c r="K617" s="6"/>
    </row>
    <row r="618" spans="5:11">
      <c r="E618" s="6"/>
      <c r="F618" s="6"/>
      <c r="G618" s="6"/>
      <c r="H618" s="6"/>
      <c r="I618" s="6"/>
      <c r="J618" s="6"/>
      <c r="K618" s="6"/>
    </row>
    <row r="619" spans="5:11">
      <c r="E619" s="6"/>
      <c r="F619" s="6"/>
      <c r="G619" s="6"/>
      <c r="H619" s="6"/>
      <c r="I619" s="6"/>
      <c r="J619" s="6"/>
      <c r="K619" s="6"/>
    </row>
    <row r="620" spans="5:11">
      <c r="E620" s="6"/>
      <c r="F620" s="6"/>
      <c r="G620" s="6"/>
      <c r="H620" s="6"/>
      <c r="I620" s="6"/>
      <c r="J620" s="6"/>
      <c r="K620" s="6"/>
    </row>
    <row r="621" spans="5:11">
      <c r="E621" s="6"/>
      <c r="F621" s="6"/>
      <c r="G621" s="6"/>
      <c r="H621" s="6"/>
      <c r="I621" s="6"/>
      <c r="J621" s="6"/>
      <c r="K621" s="6"/>
    </row>
    <row r="622" spans="5:11">
      <c r="E622" s="6"/>
      <c r="F622" s="6"/>
      <c r="G622" s="6"/>
      <c r="H622" s="6"/>
      <c r="I622" s="6"/>
      <c r="J622" s="6"/>
      <c r="K622" s="6"/>
    </row>
    <row r="623" spans="5:11">
      <c r="E623" s="6"/>
      <c r="F623" s="6"/>
      <c r="G623" s="6"/>
      <c r="H623" s="6"/>
      <c r="I623" s="6"/>
      <c r="J623" s="6"/>
      <c r="K623" s="6"/>
    </row>
    <row r="624" spans="5:11">
      <c r="E624" s="6"/>
      <c r="F624" s="6"/>
      <c r="G624" s="6"/>
      <c r="H624" s="6"/>
      <c r="I624" s="6"/>
      <c r="J624" s="6"/>
      <c r="K624" s="6"/>
    </row>
    <row r="625" spans="5:11">
      <c r="E625" s="6"/>
      <c r="F625" s="6"/>
      <c r="G625" s="6"/>
      <c r="H625" s="6"/>
      <c r="I625" s="6"/>
      <c r="J625" s="6"/>
      <c r="K625" s="6"/>
    </row>
    <row r="626" spans="5:11">
      <c r="E626" s="6"/>
      <c r="F626" s="6"/>
      <c r="G626" s="6"/>
      <c r="H626" s="6"/>
      <c r="I626" s="6"/>
      <c r="J626" s="6"/>
      <c r="K626" s="6"/>
    </row>
    <row r="627" spans="5:11">
      <c r="E627" s="6"/>
      <c r="F627" s="6"/>
      <c r="G627" s="6"/>
      <c r="H627" s="6"/>
      <c r="I627" s="6"/>
      <c r="J627" s="6"/>
      <c r="K627" s="6"/>
    </row>
    <row r="628" spans="5:11">
      <c r="E628" s="6"/>
      <c r="F628" s="6"/>
      <c r="G628" s="6"/>
      <c r="H628" s="6"/>
      <c r="I628" s="6"/>
      <c r="J628" s="6"/>
      <c r="K628" s="6"/>
    </row>
    <row r="629" spans="5:11">
      <c r="E629" s="6"/>
      <c r="F629" s="6"/>
      <c r="G629" s="6"/>
      <c r="H629" s="6"/>
      <c r="I629" s="6"/>
      <c r="J629" s="6"/>
      <c r="K629" s="6"/>
    </row>
    <row r="630" spans="5:11">
      <c r="E630" s="6"/>
      <c r="F630" s="6"/>
      <c r="G630" s="6"/>
      <c r="H630" s="6"/>
      <c r="I630" s="6"/>
      <c r="J630" s="6"/>
      <c r="K630" s="6"/>
    </row>
    <row r="631" spans="5:11">
      <c r="E631" s="6"/>
      <c r="F631" s="6"/>
      <c r="G631" s="6"/>
      <c r="H631" s="6"/>
      <c r="I631" s="6"/>
      <c r="J631" s="6"/>
      <c r="K631" s="6"/>
    </row>
    <row r="632" spans="5:11">
      <c r="E632" s="6"/>
      <c r="F632" s="6"/>
      <c r="G632" s="6"/>
      <c r="H632" s="6"/>
      <c r="I632" s="6"/>
      <c r="J632" s="6"/>
      <c r="K632" s="6"/>
    </row>
    <row r="633" spans="5:11">
      <c r="E633" s="6"/>
      <c r="F633" s="6"/>
      <c r="G633" s="6"/>
      <c r="H633" s="6"/>
      <c r="I633" s="6"/>
      <c r="J633" s="6"/>
      <c r="K633" s="6"/>
    </row>
    <row r="634" spans="5:11">
      <c r="E634" s="6"/>
      <c r="F634" s="6"/>
      <c r="G634" s="6"/>
      <c r="H634" s="6"/>
      <c r="I634" s="6"/>
      <c r="J634" s="6"/>
      <c r="K634" s="6"/>
    </row>
    <row r="635" spans="5:11">
      <c r="E635" s="6"/>
      <c r="F635" s="6"/>
      <c r="G635" s="6"/>
      <c r="H635" s="6"/>
      <c r="I635" s="6"/>
      <c r="J635" s="6"/>
      <c r="K635" s="6"/>
    </row>
    <row r="636" spans="5:11">
      <c r="E636" s="6"/>
      <c r="F636" s="6"/>
      <c r="G636" s="6"/>
      <c r="H636" s="6"/>
      <c r="I636" s="6"/>
      <c r="J636" s="6"/>
      <c r="K636" s="6"/>
    </row>
    <row r="637" spans="5:11">
      <c r="E637" s="6"/>
      <c r="F637" s="6"/>
      <c r="G637" s="6"/>
      <c r="H637" s="6"/>
      <c r="I637" s="6"/>
      <c r="J637" s="6"/>
      <c r="K637" s="6"/>
    </row>
    <row r="638" spans="5:11">
      <c r="E638" s="6"/>
      <c r="F638" s="6"/>
      <c r="G638" s="6"/>
      <c r="H638" s="6"/>
      <c r="I638" s="6"/>
      <c r="J638" s="6"/>
      <c r="K638" s="6"/>
    </row>
    <row r="639" spans="5:11">
      <c r="E639" s="6"/>
      <c r="F639" s="6"/>
      <c r="G639" s="6"/>
      <c r="H639" s="6"/>
      <c r="I639" s="6"/>
      <c r="J639" s="6"/>
      <c r="K639" s="6"/>
    </row>
    <row r="640" spans="5:11">
      <c r="E640" s="6"/>
      <c r="F640" s="6"/>
      <c r="G640" s="6"/>
      <c r="H640" s="6"/>
      <c r="I640" s="6"/>
      <c r="J640" s="6"/>
      <c r="K640" s="6"/>
    </row>
    <row r="641" spans="5:11">
      <c r="E641" s="6"/>
      <c r="F641" s="6"/>
      <c r="G641" s="6"/>
      <c r="H641" s="6"/>
      <c r="I641" s="6"/>
      <c r="J641" s="6"/>
      <c r="K641" s="6"/>
    </row>
    <row r="642" spans="5:11">
      <c r="E642" s="6"/>
      <c r="F642" s="6"/>
      <c r="G642" s="6"/>
      <c r="H642" s="6"/>
      <c r="I642" s="6"/>
      <c r="J642" s="6"/>
      <c r="K642" s="6"/>
    </row>
    <row r="643" spans="5:11">
      <c r="E643" s="6"/>
      <c r="F643" s="6"/>
      <c r="G643" s="6"/>
      <c r="H643" s="6"/>
      <c r="I643" s="6"/>
      <c r="J643" s="6"/>
      <c r="K643" s="6"/>
    </row>
    <row r="644" spans="5:11">
      <c r="E644" s="6"/>
      <c r="F644" s="6"/>
      <c r="G644" s="6"/>
      <c r="H644" s="6"/>
      <c r="I644" s="6"/>
      <c r="J644" s="6"/>
      <c r="K644" s="6"/>
    </row>
    <row r="645" spans="5:11">
      <c r="E645" s="6"/>
      <c r="F645" s="6"/>
      <c r="G645" s="6"/>
      <c r="H645" s="6"/>
      <c r="I645" s="6"/>
      <c r="J645" s="6"/>
      <c r="K645" s="6"/>
    </row>
    <row r="646" spans="5:11">
      <c r="E646" s="6"/>
      <c r="F646" s="6"/>
      <c r="G646" s="6"/>
      <c r="H646" s="6"/>
      <c r="I646" s="6"/>
      <c r="J646" s="6"/>
      <c r="K646" s="6"/>
    </row>
    <row r="647" spans="5:11">
      <c r="E647" s="6"/>
      <c r="F647" s="6"/>
      <c r="G647" s="6"/>
      <c r="H647" s="6"/>
      <c r="I647" s="6"/>
      <c r="J647" s="6"/>
      <c r="K647" s="6"/>
    </row>
    <row r="648" spans="5:11">
      <c r="E648" s="6"/>
      <c r="F648" s="6"/>
      <c r="G648" s="6"/>
      <c r="H648" s="6"/>
      <c r="I648" s="6"/>
      <c r="J648" s="6"/>
      <c r="K648" s="6"/>
    </row>
    <row r="649" spans="5:11">
      <c r="E649" s="6"/>
      <c r="F649" s="6"/>
      <c r="G649" s="6"/>
      <c r="H649" s="6"/>
      <c r="I649" s="6"/>
      <c r="J649" s="6"/>
      <c r="K649" s="6"/>
    </row>
    <row r="650" spans="5:11">
      <c r="E650" s="6"/>
      <c r="F650" s="6"/>
      <c r="G650" s="6"/>
      <c r="H650" s="6"/>
      <c r="I650" s="6"/>
      <c r="J650" s="6"/>
      <c r="K650" s="6"/>
    </row>
    <row r="651" spans="5:11">
      <c r="E651" s="6"/>
      <c r="F651" s="6"/>
      <c r="G651" s="6"/>
      <c r="H651" s="6"/>
      <c r="I651" s="6"/>
      <c r="J651" s="6"/>
      <c r="K651" s="6"/>
    </row>
    <row r="652" spans="5:11">
      <c r="E652" s="6"/>
      <c r="F652" s="6"/>
      <c r="G652" s="6"/>
      <c r="H652" s="6"/>
      <c r="I652" s="6"/>
      <c r="J652" s="6"/>
      <c r="K652" s="6"/>
    </row>
    <row r="653" spans="5:11">
      <c r="E653" s="6"/>
      <c r="F653" s="6"/>
      <c r="G653" s="6"/>
      <c r="H653" s="6"/>
      <c r="I653" s="6"/>
      <c r="J653" s="6"/>
      <c r="K653" s="6"/>
    </row>
    <row r="654" spans="5:11">
      <c r="E654" s="6"/>
      <c r="F654" s="6"/>
      <c r="G654" s="6"/>
      <c r="H654" s="6"/>
      <c r="I654" s="6"/>
      <c r="J654" s="6"/>
      <c r="K654" s="6"/>
    </row>
    <row r="655" spans="5:11">
      <c r="E655" s="6"/>
      <c r="F655" s="6"/>
      <c r="G655" s="6"/>
      <c r="H655" s="6"/>
      <c r="I655" s="6"/>
      <c r="J655" s="6"/>
      <c r="K655" s="6"/>
    </row>
    <row r="656" spans="5:11">
      <c r="E656" s="6"/>
      <c r="F656" s="6"/>
      <c r="G656" s="6"/>
      <c r="H656" s="6"/>
      <c r="I656" s="6"/>
      <c r="J656" s="6"/>
      <c r="K656" s="6"/>
    </row>
    <row r="657" spans="5:11">
      <c r="E657" s="6"/>
      <c r="F657" s="6"/>
      <c r="G657" s="6"/>
      <c r="H657" s="6"/>
      <c r="I657" s="6"/>
      <c r="J657" s="6"/>
      <c r="K657" s="6"/>
    </row>
    <row r="658" spans="5:11">
      <c r="E658" s="6"/>
      <c r="F658" s="6"/>
      <c r="G658" s="6"/>
      <c r="H658" s="6"/>
      <c r="I658" s="6"/>
      <c r="J658" s="6"/>
      <c r="K658" s="6"/>
    </row>
    <row r="659" spans="5:11">
      <c r="E659" s="6"/>
      <c r="F659" s="6"/>
      <c r="G659" s="6"/>
      <c r="H659" s="6"/>
      <c r="I659" s="6"/>
      <c r="J659" s="6"/>
      <c r="K659" s="6"/>
    </row>
    <row r="660" spans="5:11">
      <c r="E660" s="6"/>
      <c r="F660" s="6"/>
      <c r="G660" s="6"/>
      <c r="H660" s="6"/>
      <c r="I660" s="6"/>
      <c r="J660" s="6"/>
      <c r="K660" s="6"/>
    </row>
    <row r="661" spans="5:11">
      <c r="E661" s="6"/>
      <c r="F661" s="6"/>
      <c r="G661" s="6"/>
      <c r="H661" s="6"/>
      <c r="I661" s="6"/>
      <c r="J661" s="6"/>
      <c r="K661" s="6"/>
    </row>
    <row r="662" spans="5:11">
      <c r="E662" s="6"/>
      <c r="F662" s="6"/>
      <c r="G662" s="6"/>
      <c r="H662" s="6"/>
      <c r="I662" s="6"/>
      <c r="J662" s="6"/>
      <c r="K662" s="6"/>
    </row>
    <row r="663" spans="5:11">
      <c r="E663" s="6"/>
      <c r="F663" s="6"/>
      <c r="G663" s="6"/>
      <c r="H663" s="6"/>
      <c r="I663" s="6"/>
      <c r="J663" s="6"/>
      <c r="K663" s="6"/>
    </row>
    <row r="664" spans="5:11">
      <c r="E664" s="6"/>
      <c r="F664" s="6"/>
      <c r="G664" s="6"/>
      <c r="H664" s="6"/>
      <c r="I664" s="6"/>
      <c r="J664" s="6"/>
      <c r="K664" s="6"/>
    </row>
    <row r="665" spans="5:11">
      <c r="E665" s="6"/>
      <c r="F665" s="6"/>
      <c r="G665" s="6"/>
      <c r="H665" s="6"/>
      <c r="I665" s="6"/>
      <c r="J665" s="6"/>
      <c r="K665" s="6"/>
    </row>
    <row r="666" spans="5:11">
      <c r="E666" s="6"/>
      <c r="F666" s="6"/>
      <c r="G666" s="6"/>
      <c r="H666" s="6"/>
      <c r="I666" s="6"/>
      <c r="J666" s="6"/>
      <c r="K666" s="6"/>
    </row>
    <row r="667" spans="5:11">
      <c r="E667" s="6"/>
      <c r="F667" s="6"/>
      <c r="G667" s="6"/>
      <c r="H667" s="6"/>
      <c r="I667" s="6"/>
      <c r="J667" s="6"/>
      <c r="K667" s="6"/>
    </row>
    <row r="668" spans="5:11">
      <c r="E668" s="6"/>
      <c r="F668" s="6"/>
      <c r="G668" s="6"/>
      <c r="H668" s="6"/>
      <c r="I668" s="6"/>
      <c r="J668" s="6"/>
      <c r="K668" s="6"/>
    </row>
    <row r="669" spans="5:11">
      <c r="E669" s="6"/>
      <c r="F669" s="6"/>
      <c r="G669" s="6"/>
      <c r="H669" s="6"/>
      <c r="I669" s="6"/>
      <c r="J669" s="6"/>
      <c r="K669" s="6"/>
    </row>
    <row r="670" spans="5:11">
      <c r="E670" s="6"/>
      <c r="F670" s="6"/>
      <c r="G670" s="6"/>
      <c r="H670" s="6"/>
      <c r="I670" s="6"/>
      <c r="J670" s="6"/>
      <c r="K670" s="6"/>
    </row>
    <row r="671" spans="5:11">
      <c r="E671" s="6"/>
      <c r="F671" s="6"/>
      <c r="G671" s="6"/>
      <c r="H671" s="6"/>
      <c r="I671" s="6"/>
      <c r="J671" s="6"/>
      <c r="K671" s="6"/>
    </row>
    <row r="672" spans="5:11">
      <c r="E672" s="6"/>
      <c r="F672" s="6"/>
      <c r="G672" s="6"/>
      <c r="H672" s="6"/>
      <c r="I672" s="6"/>
      <c r="J672" s="6"/>
      <c r="K672" s="6"/>
    </row>
    <row r="673" spans="5:11">
      <c r="E673" s="6"/>
      <c r="F673" s="6"/>
      <c r="G673" s="6"/>
      <c r="H673" s="6"/>
      <c r="I673" s="6"/>
      <c r="J673" s="6"/>
      <c r="K673" s="6"/>
    </row>
    <row r="674" spans="5:11">
      <c r="E674" s="6"/>
      <c r="F674" s="6"/>
      <c r="G674" s="6"/>
      <c r="H674" s="6"/>
      <c r="I674" s="6"/>
      <c r="J674" s="6"/>
      <c r="K674" s="6"/>
    </row>
    <row r="675" spans="5:11">
      <c r="E675" s="6"/>
      <c r="F675" s="6"/>
      <c r="G675" s="6"/>
      <c r="H675" s="6"/>
      <c r="I675" s="6"/>
      <c r="J675" s="6"/>
      <c r="K675" s="6"/>
    </row>
    <row r="676" spans="5:11">
      <c r="E676" s="6"/>
      <c r="F676" s="6"/>
      <c r="G676" s="6"/>
      <c r="H676" s="6"/>
      <c r="I676" s="6"/>
      <c r="J676" s="6"/>
      <c r="K676" s="6"/>
    </row>
    <row r="677" spans="5:11">
      <c r="E677" s="6"/>
      <c r="F677" s="6"/>
      <c r="G677" s="6"/>
      <c r="H677" s="6"/>
      <c r="I677" s="6"/>
      <c r="J677" s="6"/>
      <c r="K677" s="6"/>
    </row>
    <row r="678" spans="5:11">
      <c r="E678" s="6"/>
      <c r="F678" s="6"/>
      <c r="G678" s="6"/>
      <c r="H678" s="6"/>
      <c r="I678" s="6"/>
      <c r="J678" s="6"/>
      <c r="K678" s="6"/>
    </row>
    <row r="679" spans="5:11">
      <c r="E679" s="6"/>
      <c r="F679" s="6"/>
      <c r="G679" s="6"/>
      <c r="H679" s="6"/>
      <c r="I679" s="6"/>
      <c r="J679" s="6"/>
      <c r="K679" s="6"/>
    </row>
    <row r="680" spans="5:11">
      <c r="E680" s="6"/>
      <c r="F680" s="6"/>
      <c r="G680" s="6"/>
      <c r="H680" s="6"/>
      <c r="I680" s="6"/>
      <c r="J680" s="6"/>
      <c r="K680" s="6"/>
    </row>
    <row r="681" spans="5:11">
      <c r="E681" s="6"/>
      <c r="F681" s="6"/>
      <c r="G681" s="6"/>
      <c r="H681" s="6"/>
      <c r="I681" s="6"/>
      <c r="J681" s="6"/>
      <c r="K681" s="6"/>
    </row>
    <row r="682" spans="5:11">
      <c r="E682" s="6"/>
      <c r="F682" s="6"/>
      <c r="G682" s="6"/>
      <c r="H682" s="6"/>
      <c r="I682" s="6"/>
      <c r="J682" s="6"/>
      <c r="K682" s="6"/>
    </row>
    <row r="683" spans="5:11">
      <c r="E683" s="6"/>
      <c r="F683" s="6"/>
      <c r="G683" s="6"/>
      <c r="H683" s="6"/>
      <c r="I683" s="6"/>
      <c r="J683" s="6"/>
      <c r="K683" s="6"/>
    </row>
    <row r="684" spans="5:11">
      <c r="E684" s="6"/>
      <c r="F684" s="6"/>
      <c r="G684" s="6"/>
      <c r="H684" s="6"/>
      <c r="I684" s="6"/>
      <c r="J684" s="6"/>
      <c r="K684" s="6"/>
    </row>
    <row r="685" spans="5:11">
      <c r="E685" s="6"/>
      <c r="F685" s="6"/>
      <c r="G685" s="6"/>
      <c r="H685" s="6"/>
      <c r="I685" s="6"/>
      <c r="J685" s="6"/>
      <c r="K685" s="6"/>
    </row>
    <row r="686" spans="5:11">
      <c r="E686" s="6"/>
      <c r="F686" s="6"/>
      <c r="G686" s="6"/>
      <c r="H686" s="6"/>
      <c r="I686" s="6"/>
      <c r="J686" s="6"/>
      <c r="K686" s="6"/>
    </row>
    <row r="687" spans="5:11">
      <c r="E687" s="6"/>
      <c r="F687" s="6"/>
      <c r="G687" s="6"/>
      <c r="H687" s="6"/>
      <c r="I687" s="6"/>
      <c r="J687" s="6"/>
      <c r="K687" s="6"/>
    </row>
    <row r="688" spans="5:11">
      <c r="E688" s="6"/>
      <c r="F688" s="6"/>
      <c r="G688" s="6"/>
      <c r="H688" s="6"/>
      <c r="I688" s="6"/>
      <c r="J688" s="6"/>
      <c r="K688" s="6"/>
    </row>
    <row r="689" spans="5:11">
      <c r="E689" s="6"/>
      <c r="F689" s="6"/>
      <c r="G689" s="6"/>
      <c r="H689" s="6"/>
      <c r="I689" s="6"/>
      <c r="J689" s="6"/>
      <c r="K689" s="6"/>
    </row>
    <row r="690" spans="5:11">
      <c r="E690" s="6"/>
      <c r="F690" s="6"/>
      <c r="G690" s="6"/>
      <c r="H690" s="6"/>
      <c r="I690" s="6"/>
      <c r="J690" s="6"/>
      <c r="K690" s="6"/>
    </row>
    <row r="691" spans="5:11">
      <c r="E691" s="6"/>
      <c r="F691" s="6"/>
      <c r="G691" s="6"/>
      <c r="H691" s="6"/>
      <c r="I691" s="6"/>
      <c r="J691" s="6"/>
      <c r="K691" s="6"/>
    </row>
    <row r="692" spans="5:11">
      <c r="E692" s="6"/>
      <c r="F692" s="6"/>
      <c r="G692" s="6"/>
      <c r="H692" s="6"/>
      <c r="I692" s="6"/>
      <c r="J692" s="6"/>
      <c r="K692" s="6"/>
    </row>
    <row r="693" spans="5:11">
      <c r="E693" s="6"/>
      <c r="F693" s="6"/>
      <c r="G693" s="6"/>
      <c r="H693" s="6"/>
      <c r="I693" s="6"/>
      <c r="J693" s="6"/>
      <c r="K693" s="6"/>
    </row>
    <row r="694" spans="5:11">
      <c r="E694" s="6"/>
      <c r="F694" s="6"/>
      <c r="G694" s="6"/>
      <c r="H694" s="6"/>
      <c r="I694" s="6"/>
      <c r="J694" s="6"/>
      <c r="K694" s="6"/>
    </row>
    <row r="695" spans="5:11">
      <c r="E695" s="6"/>
      <c r="F695" s="6"/>
      <c r="G695" s="6"/>
      <c r="H695" s="6"/>
      <c r="I695" s="6"/>
      <c r="J695" s="6"/>
      <c r="K695" s="6"/>
    </row>
    <row r="696" spans="5:11">
      <c r="E696" s="6"/>
      <c r="F696" s="6"/>
      <c r="G696" s="6"/>
      <c r="H696" s="6"/>
      <c r="I696" s="6"/>
      <c r="J696" s="6"/>
      <c r="K696" s="6"/>
    </row>
    <row r="697" spans="5:11">
      <c r="E697" s="6"/>
      <c r="F697" s="6"/>
      <c r="G697" s="6"/>
      <c r="H697" s="6"/>
      <c r="I697" s="6"/>
      <c r="J697" s="6"/>
      <c r="K697" s="6"/>
    </row>
    <row r="698" spans="5:11">
      <c r="E698" s="6"/>
      <c r="F698" s="6"/>
      <c r="G698" s="6"/>
      <c r="H698" s="6"/>
      <c r="I698" s="6"/>
      <c r="J698" s="6"/>
      <c r="K698" s="6"/>
    </row>
    <row r="699" spans="5:11">
      <c r="E699" s="6"/>
      <c r="F699" s="6"/>
      <c r="G699" s="6"/>
      <c r="H699" s="6"/>
      <c r="I699" s="6"/>
      <c r="J699" s="6"/>
      <c r="K699" s="6"/>
    </row>
    <row r="700" spans="5:11">
      <c r="E700" s="6"/>
      <c r="F700" s="6"/>
      <c r="G700" s="6"/>
      <c r="H700" s="6"/>
      <c r="I700" s="6"/>
      <c r="J700" s="6"/>
      <c r="K700" s="6"/>
    </row>
    <row r="701" spans="5:11">
      <c r="E701" s="6"/>
      <c r="F701" s="6"/>
      <c r="G701" s="6"/>
      <c r="H701" s="6"/>
      <c r="I701" s="6"/>
      <c r="J701" s="6"/>
      <c r="K701" s="6"/>
    </row>
    <row r="702" spans="5:11">
      <c r="E702" s="6"/>
      <c r="F702" s="6"/>
      <c r="G702" s="6"/>
      <c r="H702" s="6"/>
      <c r="I702" s="6"/>
      <c r="J702" s="6"/>
      <c r="K702" s="6"/>
    </row>
    <row r="703" spans="5:11">
      <c r="E703" s="6"/>
      <c r="F703" s="6"/>
      <c r="G703" s="6"/>
      <c r="H703" s="6"/>
      <c r="I703" s="6"/>
      <c r="J703" s="6"/>
      <c r="K703" s="6"/>
    </row>
    <row r="704" spans="5:11">
      <c r="E704" s="6"/>
      <c r="F704" s="6"/>
      <c r="G704" s="6"/>
      <c r="H704" s="6"/>
      <c r="I704" s="6"/>
      <c r="J704" s="6"/>
      <c r="K704" s="6"/>
    </row>
    <row r="705" spans="5:11">
      <c r="E705" s="6"/>
      <c r="F705" s="6"/>
      <c r="G705" s="6"/>
      <c r="H705" s="6"/>
      <c r="I705" s="6"/>
      <c r="J705" s="6"/>
      <c r="K705" s="6"/>
    </row>
    <row r="706" spans="5:11">
      <c r="E706" s="6"/>
      <c r="F706" s="6"/>
      <c r="G706" s="6"/>
      <c r="H706" s="6"/>
      <c r="I706" s="6"/>
      <c r="J706" s="6"/>
      <c r="K706" s="6"/>
    </row>
    <row r="707" spans="5:11">
      <c r="E707" s="6"/>
      <c r="F707" s="6"/>
      <c r="G707" s="6"/>
      <c r="H707" s="6"/>
      <c r="I707" s="6"/>
      <c r="J707" s="6"/>
      <c r="K707" s="6"/>
    </row>
    <row r="708" spans="5:11">
      <c r="E708" s="6"/>
      <c r="F708" s="6"/>
      <c r="G708" s="6"/>
      <c r="H708" s="6"/>
      <c r="I708" s="6"/>
      <c r="J708" s="6"/>
      <c r="K708" s="6"/>
    </row>
    <row r="709" spans="5:11">
      <c r="E709" s="6"/>
      <c r="F709" s="6"/>
      <c r="G709" s="6"/>
      <c r="H709" s="6"/>
      <c r="I709" s="6"/>
      <c r="J709" s="6"/>
      <c r="K709" s="6"/>
    </row>
    <row r="710" spans="5:11">
      <c r="E710" s="6"/>
      <c r="F710" s="6"/>
      <c r="G710" s="6"/>
      <c r="H710" s="6"/>
      <c r="I710" s="6"/>
      <c r="J710" s="6"/>
      <c r="K710" s="6"/>
    </row>
    <row r="711" spans="5:11">
      <c r="E711" s="6"/>
      <c r="F711" s="6"/>
      <c r="G711" s="6"/>
      <c r="H711" s="6"/>
      <c r="I711" s="6"/>
      <c r="J711" s="6"/>
      <c r="K711" s="6"/>
    </row>
    <row r="712" spans="5:11">
      <c r="E712" s="6"/>
      <c r="F712" s="6"/>
      <c r="G712" s="6"/>
      <c r="H712" s="6"/>
      <c r="I712" s="6"/>
      <c r="J712" s="6"/>
      <c r="K712" s="6"/>
    </row>
    <row r="713" spans="5:11">
      <c r="E713" s="6"/>
      <c r="F713" s="6"/>
      <c r="G713" s="6"/>
      <c r="H713" s="6"/>
      <c r="I713" s="6"/>
      <c r="J713" s="6"/>
      <c r="K713" s="6"/>
    </row>
    <row r="714" spans="5:11">
      <c r="E714" s="6"/>
      <c r="F714" s="6"/>
      <c r="G714" s="6"/>
      <c r="H714" s="6"/>
      <c r="I714" s="6"/>
      <c r="J714" s="6"/>
      <c r="K714" s="6"/>
    </row>
    <row r="715" spans="5:11">
      <c r="E715" s="6"/>
      <c r="F715" s="6"/>
      <c r="G715" s="6"/>
      <c r="H715" s="6"/>
      <c r="I715" s="6"/>
      <c r="J715" s="6"/>
      <c r="K715" s="6"/>
    </row>
    <row r="716" spans="5:11">
      <c r="E716" s="6"/>
      <c r="F716" s="6"/>
      <c r="G716" s="6"/>
      <c r="H716" s="6"/>
      <c r="I716" s="6"/>
      <c r="J716" s="6"/>
      <c r="K716" s="6"/>
    </row>
    <row r="717" spans="5:11">
      <c r="E717" s="6"/>
      <c r="F717" s="6"/>
      <c r="G717" s="6"/>
      <c r="H717" s="6"/>
      <c r="I717" s="6"/>
      <c r="J717" s="6"/>
      <c r="K717" s="6"/>
    </row>
    <row r="718" spans="5:11">
      <c r="E718" s="6"/>
      <c r="F718" s="6"/>
      <c r="G718" s="6"/>
      <c r="H718" s="6"/>
      <c r="I718" s="6"/>
      <c r="J718" s="6"/>
      <c r="K718" s="6"/>
    </row>
    <row r="719" spans="5:11">
      <c r="E719" s="6"/>
      <c r="F719" s="6"/>
      <c r="G719" s="6"/>
      <c r="H719" s="6"/>
      <c r="I719" s="6"/>
      <c r="J719" s="6"/>
      <c r="K719" s="6"/>
    </row>
    <row r="720" spans="5:11">
      <c r="E720" s="6"/>
      <c r="F720" s="6"/>
      <c r="G720" s="6"/>
      <c r="H720" s="6"/>
      <c r="I720" s="6"/>
      <c r="J720" s="6"/>
      <c r="K720" s="6"/>
    </row>
    <row r="721" spans="5:11">
      <c r="E721" s="6"/>
      <c r="F721" s="6"/>
      <c r="G721" s="6"/>
      <c r="H721" s="6"/>
      <c r="I721" s="6"/>
      <c r="J721" s="6"/>
      <c r="K721" s="6"/>
    </row>
    <row r="722" spans="5:11">
      <c r="E722" s="6"/>
      <c r="F722" s="6"/>
      <c r="G722" s="6"/>
      <c r="H722" s="6"/>
      <c r="I722" s="6"/>
      <c r="J722" s="6"/>
      <c r="K722" s="6"/>
    </row>
    <row r="723" spans="5:11">
      <c r="E723" s="6"/>
      <c r="F723" s="6"/>
      <c r="G723" s="6"/>
      <c r="H723" s="6"/>
      <c r="I723" s="6"/>
      <c r="J723" s="6"/>
      <c r="K723" s="6"/>
    </row>
    <row r="724" spans="5:11">
      <c r="E724" s="6"/>
      <c r="F724" s="6"/>
      <c r="G724" s="6"/>
      <c r="H724" s="6"/>
      <c r="I724" s="6"/>
      <c r="J724" s="6"/>
      <c r="K724" s="6"/>
    </row>
    <row r="725" spans="5:11">
      <c r="E725" s="6"/>
      <c r="F725" s="6"/>
      <c r="G725" s="6"/>
      <c r="H725" s="6"/>
      <c r="I725" s="6"/>
      <c r="J725" s="6"/>
      <c r="K725" s="6"/>
    </row>
    <row r="726" spans="5:11">
      <c r="E726" s="6"/>
      <c r="F726" s="6"/>
      <c r="G726" s="6"/>
      <c r="H726" s="6"/>
      <c r="I726" s="6"/>
      <c r="J726" s="6"/>
      <c r="K726" s="6"/>
    </row>
    <row r="727" spans="5:11">
      <c r="E727" s="6"/>
      <c r="F727" s="6"/>
      <c r="G727" s="6"/>
      <c r="H727" s="6"/>
      <c r="I727" s="6"/>
      <c r="J727" s="6"/>
      <c r="K727" s="6"/>
    </row>
    <row r="728" spans="5:11">
      <c r="E728" s="6"/>
      <c r="F728" s="6"/>
      <c r="G728" s="6"/>
      <c r="H728" s="6"/>
      <c r="I728" s="6"/>
      <c r="J728" s="6"/>
      <c r="K728" s="6"/>
    </row>
    <row r="729" spans="5:11">
      <c r="E729" s="6"/>
      <c r="F729" s="6"/>
      <c r="G729" s="6"/>
      <c r="H729" s="6"/>
      <c r="I729" s="6"/>
      <c r="J729" s="6"/>
      <c r="K729" s="6"/>
    </row>
    <row r="730" spans="5:11">
      <c r="E730" s="6"/>
      <c r="F730" s="6"/>
      <c r="G730" s="6"/>
      <c r="H730" s="6"/>
      <c r="I730" s="6"/>
      <c r="J730" s="6"/>
      <c r="K730" s="6"/>
    </row>
    <row r="731" spans="5:11">
      <c r="E731" s="6"/>
      <c r="F731" s="6"/>
      <c r="G731" s="6"/>
      <c r="H731" s="6"/>
      <c r="I731" s="6"/>
      <c r="J731" s="6"/>
      <c r="K731" s="6"/>
    </row>
    <row r="732" spans="5:11">
      <c r="E732" s="6"/>
      <c r="F732" s="6"/>
      <c r="G732" s="6"/>
      <c r="H732" s="6"/>
      <c r="I732" s="6"/>
      <c r="J732" s="6"/>
      <c r="K732" s="6"/>
    </row>
    <row r="733" spans="5:11">
      <c r="E733" s="6"/>
      <c r="F733" s="6"/>
      <c r="G733" s="6"/>
      <c r="H733" s="6"/>
      <c r="I733" s="6"/>
      <c r="J733" s="6"/>
      <c r="K733" s="6"/>
    </row>
    <row r="734" spans="5:11">
      <c r="E734" s="6"/>
      <c r="F734" s="6"/>
      <c r="G734" s="6"/>
      <c r="H734" s="6"/>
      <c r="I734" s="6"/>
      <c r="J734" s="6"/>
      <c r="K734" s="6"/>
    </row>
    <row r="735" spans="5:11">
      <c r="E735" s="6"/>
      <c r="F735" s="6"/>
      <c r="G735" s="6"/>
      <c r="H735" s="6"/>
      <c r="I735" s="6"/>
      <c r="J735" s="6"/>
      <c r="K735" s="6"/>
    </row>
    <row r="736" spans="5:11">
      <c r="E736" s="6"/>
      <c r="F736" s="6"/>
      <c r="G736" s="6"/>
      <c r="H736" s="6"/>
      <c r="I736" s="6"/>
      <c r="J736" s="6"/>
      <c r="K736" s="6"/>
    </row>
    <row r="737" spans="5:11">
      <c r="E737" s="6"/>
      <c r="F737" s="6"/>
      <c r="G737" s="6"/>
      <c r="H737" s="6"/>
      <c r="I737" s="6"/>
      <c r="J737" s="6"/>
      <c r="K737" s="6"/>
    </row>
    <row r="738" spans="5:11">
      <c r="E738" s="6"/>
      <c r="F738" s="6"/>
      <c r="G738" s="6"/>
      <c r="H738" s="6"/>
      <c r="I738" s="6"/>
      <c r="J738" s="6"/>
      <c r="K738" s="6"/>
    </row>
    <row r="739" spans="5:11">
      <c r="E739" s="6"/>
      <c r="F739" s="6"/>
      <c r="G739" s="6"/>
      <c r="H739" s="6"/>
      <c r="I739" s="6"/>
      <c r="J739" s="6"/>
      <c r="K739" s="6"/>
    </row>
    <row r="740" spans="5:11">
      <c r="E740" s="6"/>
      <c r="F740" s="6"/>
      <c r="G740" s="6"/>
      <c r="H740" s="6"/>
      <c r="I740" s="6"/>
      <c r="J740" s="6"/>
      <c r="K740" s="6"/>
    </row>
    <row r="741" spans="5:11">
      <c r="E741" s="6"/>
      <c r="F741" s="6"/>
      <c r="G741" s="6"/>
      <c r="H741" s="6"/>
      <c r="I741" s="6"/>
      <c r="J741" s="6"/>
      <c r="K741" s="6"/>
    </row>
    <row r="742" spans="5:11">
      <c r="E742" s="6"/>
      <c r="F742" s="6"/>
      <c r="G742" s="6"/>
      <c r="H742" s="6"/>
      <c r="I742" s="6"/>
      <c r="J742" s="6"/>
      <c r="K742" s="6"/>
    </row>
    <row r="743" spans="5:11">
      <c r="E743" s="6"/>
      <c r="F743" s="6"/>
      <c r="G743" s="6"/>
      <c r="H743" s="6"/>
      <c r="I743" s="6"/>
      <c r="J743" s="6"/>
      <c r="K743" s="6"/>
    </row>
    <row r="744" spans="5:11">
      <c r="E744" s="6"/>
      <c r="F744" s="6"/>
      <c r="G744" s="6"/>
      <c r="H744" s="6"/>
      <c r="I744" s="6"/>
      <c r="J744" s="6"/>
      <c r="K744" s="6"/>
    </row>
    <row r="745" spans="5:11">
      <c r="E745" s="6"/>
      <c r="F745" s="6"/>
      <c r="G745" s="6"/>
      <c r="H745" s="6"/>
      <c r="I745" s="6"/>
      <c r="J745" s="6"/>
      <c r="K745" s="6"/>
    </row>
    <row r="746" spans="5:11">
      <c r="E746" s="6"/>
      <c r="F746" s="6"/>
      <c r="G746" s="6"/>
      <c r="H746" s="6"/>
      <c r="I746" s="6"/>
      <c r="J746" s="6"/>
      <c r="K746" s="6"/>
    </row>
    <row r="747" spans="5:11">
      <c r="E747" s="6"/>
      <c r="F747" s="6"/>
      <c r="G747" s="6"/>
      <c r="H747" s="6"/>
      <c r="I747" s="6"/>
      <c r="J747" s="6"/>
      <c r="K747" s="6"/>
    </row>
    <row r="748" spans="5:11">
      <c r="E748" s="6"/>
      <c r="F748" s="6"/>
      <c r="G748" s="6"/>
      <c r="H748" s="6"/>
      <c r="I748" s="6"/>
      <c r="J748" s="6"/>
      <c r="K748" s="6"/>
    </row>
    <row r="749" spans="5:11">
      <c r="E749" s="6"/>
      <c r="F749" s="6"/>
      <c r="G749" s="6"/>
      <c r="H749" s="6"/>
      <c r="I749" s="6"/>
      <c r="J749" s="6"/>
      <c r="K749" s="6"/>
    </row>
    <row r="750" spans="5:11">
      <c r="E750" s="6"/>
      <c r="F750" s="6"/>
      <c r="G750" s="6"/>
      <c r="H750" s="6"/>
      <c r="I750" s="6"/>
      <c r="J750" s="6"/>
      <c r="K750" s="6"/>
    </row>
    <row r="751" spans="5:11">
      <c r="E751" s="6"/>
      <c r="F751" s="6"/>
      <c r="G751" s="6"/>
      <c r="H751" s="6"/>
      <c r="I751" s="6"/>
      <c r="J751" s="6"/>
      <c r="K751" s="6"/>
    </row>
    <row r="752" spans="5:11">
      <c r="E752" s="6"/>
      <c r="F752" s="6"/>
      <c r="G752" s="6"/>
      <c r="H752" s="6"/>
      <c r="I752" s="6"/>
      <c r="J752" s="6"/>
      <c r="K752" s="6"/>
    </row>
    <row r="753" spans="5:11">
      <c r="E753" s="6"/>
      <c r="F753" s="6"/>
      <c r="G753" s="6"/>
      <c r="H753" s="6"/>
      <c r="I753" s="6"/>
      <c r="J753" s="6"/>
      <c r="K753" s="6"/>
    </row>
    <row r="754" spans="5:11">
      <c r="E754" s="6"/>
      <c r="F754" s="6"/>
      <c r="G754" s="6"/>
      <c r="H754" s="6"/>
      <c r="I754" s="6"/>
      <c r="J754" s="6"/>
      <c r="K754" s="6"/>
    </row>
    <row r="755" spans="5:11">
      <c r="E755" s="6"/>
      <c r="F755" s="6"/>
      <c r="G755" s="6"/>
      <c r="H755" s="6"/>
      <c r="I755" s="6"/>
      <c r="J755" s="6"/>
      <c r="K755" s="6"/>
    </row>
    <row r="756" spans="5:11">
      <c r="E756" s="6"/>
      <c r="F756" s="6"/>
      <c r="G756" s="6"/>
      <c r="H756" s="6"/>
      <c r="I756" s="6"/>
      <c r="J756" s="6"/>
      <c r="K756" s="6"/>
    </row>
    <row r="757" spans="5:11">
      <c r="E757" s="6"/>
      <c r="F757" s="6"/>
      <c r="G757" s="6"/>
      <c r="H757" s="6"/>
      <c r="I757" s="6"/>
      <c r="J757" s="6"/>
      <c r="K757" s="6"/>
    </row>
    <row r="758" spans="5:11">
      <c r="E758" s="6"/>
      <c r="F758" s="6"/>
      <c r="G758" s="6"/>
      <c r="H758" s="6"/>
      <c r="I758" s="6"/>
      <c r="J758" s="6"/>
      <c r="K758" s="6"/>
    </row>
    <row r="759" spans="5:11">
      <c r="E759" s="6"/>
      <c r="F759" s="6"/>
      <c r="G759" s="6"/>
      <c r="H759" s="6"/>
      <c r="I759" s="6"/>
      <c r="J759" s="6"/>
      <c r="K759" s="6"/>
    </row>
    <row r="760" spans="5:11">
      <c r="E760" s="6"/>
      <c r="F760" s="6"/>
      <c r="G760" s="6"/>
      <c r="H760" s="6"/>
      <c r="I760" s="6"/>
      <c r="J760" s="6"/>
      <c r="K760" s="6"/>
    </row>
    <row r="761" spans="5:11">
      <c r="E761" s="6"/>
      <c r="F761" s="6"/>
      <c r="G761" s="6"/>
      <c r="H761" s="6"/>
      <c r="I761" s="6"/>
      <c r="J761" s="6"/>
      <c r="K761" s="6"/>
    </row>
    <row r="762" spans="5:11">
      <c r="E762" s="6"/>
      <c r="F762" s="6"/>
      <c r="G762" s="6"/>
      <c r="H762" s="6"/>
      <c r="I762" s="6"/>
      <c r="J762" s="6"/>
      <c r="K762" s="6"/>
    </row>
    <row r="763" spans="5:11">
      <c r="E763" s="6"/>
      <c r="F763" s="6"/>
      <c r="G763" s="6"/>
      <c r="H763" s="6"/>
      <c r="I763" s="6"/>
      <c r="J763" s="6"/>
      <c r="K763" s="6"/>
    </row>
    <row r="764" spans="5:11">
      <c r="E764" s="6"/>
      <c r="F764" s="6"/>
      <c r="G764" s="6"/>
      <c r="H764" s="6"/>
      <c r="I764" s="6"/>
      <c r="J764" s="6"/>
      <c r="K764" s="6"/>
    </row>
    <row r="765" spans="5:11">
      <c r="E765" s="6"/>
      <c r="F765" s="6"/>
      <c r="G765" s="6"/>
      <c r="H765" s="6"/>
      <c r="I765" s="6"/>
      <c r="J765" s="6"/>
      <c r="K765" s="6"/>
    </row>
    <row r="766" spans="5:11">
      <c r="E766" s="6"/>
      <c r="F766" s="6"/>
      <c r="G766" s="6"/>
      <c r="H766" s="6"/>
      <c r="I766" s="6"/>
      <c r="J766" s="6"/>
      <c r="K766" s="6"/>
    </row>
    <row r="767" spans="5:11">
      <c r="E767" s="6"/>
      <c r="F767" s="6"/>
      <c r="G767" s="6"/>
      <c r="H767" s="6"/>
      <c r="I767" s="6"/>
      <c r="J767" s="6"/>
      <c r="K767" s="6"/>
    </row>
    <row r="768" spans="5:11">
      <c r="E768" s="6"/>
      <c r="F768" s="6"/>
      <c r="G768" s="6"/>
      <c r="H768" s="6"/>
      <c r="I768" s="6"/>
      <c r="J768" s="6"/>
      <c r="K768" s="6"/>
    </row>
    <row r="769" spans="5:11">
      <c r="E769" s="6"/>
      <c r="F769" s="6"/>
      <c r="G769" s="6"/>
      <c r="H769" s="6"/>
      <c r="I769" s="6"/>
      <c r="J769" s="6"/>
      <c r="K769" s="6"/>
    </row>
    <row r="770" spans="5:11">
      <c r="E770" s="6"/>
      <c r="F770" s="6"/>
      <c r="G770" s="6"/>
      <c r="H770" s="6"/>
      <c r="I770" s="6"/>
      <c r="J770" s="6"/>
      <c r="K770" s="6"/>
    </row>
    <row r="771" spans="5:11">
      <c r="E771" s="6"/>
      <c r="F771" s="6"/>
      <c r="G771" s="6"/>
      <c r="H771" s="6"/>
      <c r="I771" s="6"/>
      <c r="J771" s="6"/>
      <c r="K771" s="6"/>
    </row>
    <row r="772" spans="5:11">
      <c r="E772" s="6"/>
      <c r="F772" s="6"/>
      <c r="G772" s="6"/>
      <c r="H772" s="6"/>
      <c r="I772" s="6"/>
      <c r="J772" s="6"/>
      <c r="K772" s="6"/>
    </row>
    <row r="773" spans="5:11">
      <c r="E773" s="6"/>
      <c r="F773" s="6"/>
      <c r="G773" s="6"/>
      <c r="H773" s="6"/>
      <c r="I773" s="6"/>
      <c r="J773" s="6"/>
      <c r="K773" s="6"/>
    </row>
    <row r="774" spans="5:11">
      <c r="E774" s="6"/>
      <c r="F774" s="6"/>
      <c r="G774" s="6"/>
      <c r="H774" s="6"/>
      <c r="I774" s="6"/>
      <c r="J774" s="6"/>
      <c r="K774" s="6"/>
    </row>
    <row r="775" spans="5:11">
      <c r="E775" s="6"/>
      <c r="F775" s="6"/>
      <c r="G775" s="6"/>
      <c r="H775" s="6"/>
      <c r="I775" s="6"/>
      <c r="J775" s="6"/>
      <c r="K775" s="6"/>
    </row>
    <row r="776" spans="5:11">
      <c r="E776" s="6"/>
      <c r="F776" s="6"/>
      <c r="G776" s="6"/>
      <c r="H776" s="6"/>
      <c r="I776" s="6"/>
      <c r="J776" s="6"/>
      <c r="K776" s="6"/>
    </row>
    <row r="777" spans="5:11">
      <c r="E777" s="6"/>
      <c r="F777" s="6"/>
      <c r="G777" s="6"/>
      <c r="H777" s="6"/>
      <c r="I777" s="6"/>
      <c r="J777" s="6"/>
      <c r="K777" s="6"/>
    </row>
    <row r="778" spans="5:11">
      <c r="E778" s="6"/>
      <c r="F778" s="6"/>
      <c r="G778" s="6"/>
      <c r="H778" s="6"/>
      <c r="I778" s="6"/>
      <c r="J778" s="6"/>
      <c r="K778" s="6"/>
    </row>
    <row r="779" spans="5:11">
      <c r="E779" s="6"/>
      <c r="F779" s="6"/>
      <c r="G779" s="6"/>
      <c r="H779" s="6"/>
      <c r="I779" s="6"/>
      <c r="J779" s="6"/>
      <c r="K779" s="6"/>
    </row>
    <row r="780" spans="5:11">
      <c r="E780" s="6"/>
      <c r="F780" s="6"/>
      <c r="G780" s="6"/>
      <c r="H780" s="6"/>
      <c r="I780" s="6"/>
      <c r="J780" s="6"/>
      <c r="K780" s="6"/>
    </row>
    <row r="781" spans="5:11">
      <c r="E781" s="6"/>
      <c r="F781" s="6"/>
      <c r="G781" s="6"/>
      <c r="H781" s="6"/>
      <c r="I781" s="6"/>
      <c r="J781" s="6"/>
      <c r="K781" s="6"/>
    </row>
    <row r="782" spans="5:11">
      <c r="E782" s="6"/>
      <c r="F782" s="6"/>
      <c r="G782" s="6"/>
      <c r="H782" s="6"/>
      <c r="I782" s="6"/>
      <c r="J782" s="6"/>
      <c r="K782" s="6"/>
    </row>
    <row r="783" spans="5:11">
      <c r="E783" s="6"/>
      <c r="F783" s="6"/>
      <c r="G783" s="6"/>
      <c r="H783" s="6"/>
      <c r="I783" s="6"/>
      <c r="J783" s="6"/>
      <c r="K783" s="6"/>
    </row>
    <row r="784" spans="5:11">
      <c r="E784" s="6"/>
      <c r="F784" s="6"/>
      <c r="G784" s="6"/>
      <c r="H784" s="6"/>
      <c r="I784" s="6"/>
      <c r="J784" s="6"/>
      <c r="K784" s="6"/>
    </row>
    <row r="785" spans="5:11">
      <c r="E785" s="6"/>
      <c r="F785" s="6"/>
      <c r="G785" s="6"/>
      <c r="H785" s="6"/>
      <c r="I785" s="6"/>
      <c r="J785" s="6"/>
      <c r="K785" s="6"/>
    </row>
    <row r="786" spans="5:11">
      <c r="E786" s="6"/>
      <c r="F786" s="6"/>
      <c r="G786" s="6"/>
      <c r="H786" s="6"/>
      <c r="I786" s="6"/>
      <c r="J786" s="6"/>
      <c r="K786" s="6"/>
    </row>
    <row r="787" spans="5:11">
      <c r="E787" s="6"/>
      <c r="F787" s="6"/>
      <c r="G787" s="6"/>
      <c r="H787" s="6"/>
      <c r="I787" s="6"/>
      <c r="J787" s="6"/>
      <c r="K787" s="6"/>
    </row>
    <row r="788" spans="5:11">
      <c r="E788" s="6"/>
      <c r="F788" s="6"/>
      <c r="G788" s="6"/>
      <c r="H788" s="6"/>
      <c r="I788" s="6"/>
      <c r="J788" s="6"/>
      <c r="K788" s="6"/>
    </row>
    <row r="789" spans="5:11">
      <c r="E789" s="6"/>
      <c r="F789" s="6"/>
      <c r="G789" s="6"/>
      <c r="H789" s="6"/>
      <c r="I789" s="6"/>
      <c r="J789" s="6"/>
      <c r="K789" s="6"/>
    </row>
    <row r="790" spans="5:11">
      <c r="E790" s="6"/>
      <c r="F790" s="6"/>
      <c r="G790" s="6"/>
      <c r="H790" s="6"/>
      <c r="I790" s="6"/>
      <c r="J790" s="6"/>
      <c r="K790" s="6"/>
    </row>
    <row r="791" spans="5:11">
      <c r="E791" s="6"/>
      <c r="F791" s="6"/>
      <c r="G791" s="6"/>
      <c r="H791" s="6"/>
      <c r="I791" s="6"/>
      <c r="J791" s="6"/>
      <c r="K791" s="6"/>
    </row>
    <row r="792" spans="5:11">
      <c r="E792" s="6"/>
      <c r="F792" s="6"/>
      <c r="G792" s="6"/>
      <c r="H792" s="6"/>
      <c r="I792" s="6"/>
      <c r="J792" s="6"/>
      <c r="K792" s="6"/>
    </row>
    <row r="793" spans="5:11">
      <c r="E793" s="6"/>
      <c r="F793" s="6"/>
      <c r="G793" s="6"/>
      <c r="H793" s="6"/>
      <c r="I793" s="6"/>
      <c r="J793" s="6"/>
      <c r="K793" s="6"/>
    </row>
    <row r="794" spans="5:11">
      <c r="E794" s="6"/>
      <c r="F794" s="6"/>
      <c r="G794" s="6"/>
      <c r="H794" s="6"/>
      <c r="I794" s="6"/>
      <c r="J794" s="6"/>
      <c r="K794" s="6"/>
    </row>
    <row r="795" spans="5:11">
      <c r="E795" s="6"/>
      <c r="F795" s="6"/>
      <c r="G795" s="6"/>
      <c r="H795" s="6"/>
      <c r="I795" s="6"/>
      <c r="J795" s="6"/>
      <c r="K795" s="6"/>
    </row>
    <row r="796" spans="5:11">
      <c r="E796" s="6"/>
      <c r="F796" s="6"/>
      <c r="G796" s="6"/>
      <c r="H796" s="6"/>
      <c r="I796" s="6"/>
      <c r="J796" s="6"/>
      <c r="K796" s="6"/>
    </row>
    <row r="797" spans="5:11">
      <c r="E797" s="6"/>
      <c r="F797" s="6"/>
      <c r="G797" s="6"/>
      <c r="H797" s="6"/>
      <c r="I797" s="6"/>
      <c r="J797" s="6"/>
      <c r="K797" s="6"/>
    </row>
    <row r="798" spans="5:11">
      <c r="E798" s="6"/>
      <c r="F798" s="6"/>
      <c r="G798" s="6"/>
      <c r="H798" s="6"/>
      <c r="I798" s="6"/>
      <c r="J798" s="6"/>
      <c r="K798" s="6"/>
    </row>
    <row r="799" spans="5:11">
      <c r="E799" s="6"/>
      <c r="F799" s="6"/>
      <c r="G799" s="6"/>
      <c r="H799" s="6"/>
      <c r="I799" s="6"/>
      <c r="J799" s="6"/>
      <c r="K799" s="6"/>
    </row>
    <row r="800" spans="5:11">
      <c r="E800" s="6"/>
      <c r="F800" s="6"/>
      <c r="G800" s="6"/>
      <c r="H800" s="6"/>
      <c r="I800" s="6"/>
      <c r="J800" s="6"/>
      <c r="K800" s="6"/>
    </row>
    <row r="801" spans="5:11">
      <c r="E801" s="6"/>
      <c r="F801" s="6"/>
      <c r="G801" s="6"/>
      <c r="H801" s="6"/>
      <c r="I801" s="6"/>
      <c r="J801" s="6"/>
      <c r="K801" s="6"/>
    </row>
    <row r="802" spans="5:11">
      <c r="E802" s="6"/>
      <c r="F802" s="6"/>
      <c r="G802" s="6"/>
      <c r="H802" s="6"/>
      <c r="I802" s="6"/>
      <c r="J802" s="6"/>
      <c r="K802" s="6"/>
    </row>
    <row r="803" spans="5:11">
      <c r="E803" s="6"/>
      <c r="F803" s="6"/>
      <c r="G803" s="6"/>
      <c r="H803" s="6"/>
      <c r="I803" s="6"/>
      <c r="J803" s="6"/>
      <c r="K803" s="6"/>
    </row>
    <row r="804" spans="5:11">
      <c r="E804" s="6"/>
      <c r="F804" s="6"/>
      <c r="G804" s="6"/>
      <c r="H804" s="6"/>
      <c r="I804" s="6"/>
      <c r="J804" s="6"/>
      <c r="K804" s="6"/>
    </row>
    <row r="805" spans="5:11">
      <c r="E805" s="6"/>
      <c r="F805" s="6"/>
      <c r="G805" s="6"/>
      <c r="H805" s="6"/>
      <c r="I805" s="6"/>
      <c r="J805" s="6"/>
      <c r="K805" s="6"/>
    </row>
    <row r="806" spans="5:11">
      <c r="E806" s="6"/>
      <c r="F806" s="6"/>
      <c r="G806" s="6"/>
      <c r="H806" s="6"/>
      <c r="I806" s="6"/>
      <c r="J806" s="6"/>
      <c r="K806" s="6"/>
    </row>
    <row r="807" spans="5:11">
      <c r="E807" s="6"/>
      <c r="F807" s="6"/>
      <c r="G807" s="6"/>
      <c r="H807" s="6"/>
      <c r="I807" s="6"/>
      <c r="J807" s="6"/>
      <c r="K807" s="6"/>
    </row>
    <row r="808" spans="5:11">
      <c r="E808" s="6"/>
      <c r="F808" s="6"/>
      <c r="G808" s="6"/>
      <c r="H808" s="6"/>
      <c r="I808" s="6"/>
      <c r="J808" s="6"/>
      <c r="K808" s="6"/>
    </row>
    <row r="809" spans="5:11">
      <c r="E809" s="6"/>
      <c r="F809" s="6"/>
      <c r="G809" s="6"/>
      <c r="H809" s="6"/>
      <c r="I809" s="6"/>
      <c r="J809" s="6"/>
      <c r="K809" s="6"/>
    </row>
    <row r="810" spans="5:11">
      <c r="E810" s="6"/>
      <c r="F810" s="6"/>
      <c r="G810" s="6"/>
      <c r="H810" s="6"/>
      <c r="I810" s="6"/>
      <c r="J810" s="6"/>
      <c r="K810" s="6"/>
    </row>
    <row r="811" spans="5:11">
      <c r="E811" s="6"/>
      <c r="F811" s="6"/>
      <c r="G811" s="6"/>
      <c r="H811" s="6"/>
      <c r="I811" s="6"/>
      <c r="J811" s="6"/>
      <c r="K811" s="6"/>
    </row>
    <row r="812" spans="5:11">
      <c r="E812" s="6"/>
      <c r="F812" s="6"/>
      <c r="G812" s="6"/>
      <c r="H812" s="6"/>
      <c r="I812" s="6"/>
      <c r="J812" s="6"/>
      <c r="K812" s="6"/>
    </row>
    <row r="813" spans="5:11">
      <c r="E813" s="6"/>
      <c r="F813" s="6"/>
      <c r="G813" s="6"/>
      <c r="H813" s="6"/>
      <c r="I813" s="6"/>
      <c r="J813" s="6"/>
      <c r="K813" s="6"/>
    </row>
    <row r="814" spans="5:11">
      <c r="E814" s="6"/>
      <c r="F814" s="6"/>
      <c r="G814" s="6"/>
      <c r="H814" s="6"/>
      <c r="I814" s="6"/>
      <c r="J814" s="6"/>
      <c r="K814" s="6"/>
    </row>
    <row r="815" spans="5:11">
      <c r="E815" s="6"/>
      <c r="F815" s="6"/>
      <c r="G815" s="6"/>
      <c r="H815" s="6"/>
      <c r="I815" s="6"/>
      <c r="J815" s="6"/>
      <c r="K815" s="6"/>
    </row>
    <row r="816" spans="5:11">
      <c r="E816" s="6"/>
      <c r="F816" s="6"/>
      <c r="G816" s="6"/>
      <c r="H816" s="6"/>
      <c r="I816" s="6"/>
      <c r="J816" s="6"/>
      <c r="K816" s="6"/>
    </row>
    <row r="817" spans="5:11">
      <c r="E817" s="6"/>
      <c r="F817" s="6"/>
      <c r="G817" s="6"/>
      <c r="H817" s="6"/>
      <c r="I817" s="6"/>
      <c r="J817" s="6"/>
      <c r="K817" s="6"/>
    </row>
    <row r="818" spans="5:11">
      <c r="E818" s="6"/>
      <c r="F818" s="6"/>
      <c r="G818" s="6"/>
      <c r="H818" s="6"/>
      <c r="I818" s="6"/>
      <c r="J818" s="6"/>
      <c r="K818" s="6"/>
    </row>
    <row r="819" spans="5:11">
      <c r="E819" s="6"/>
      <c r="F819" s="6"/>
      <c r="G819" s="6"/>
      <c r="H819" s="6"/>
      <c r="I819" s="6"/>
      <c r="J819" s="6"/>
      <c r="K819" s="6"/>
    </row>
    <row r="820" spans="5:11">
      <c r="E820" s="6"/>
      <c r="F820" s="6"/>
      <c r="G820" s="6"/>
      <c r="H820" s="6"/>
      <c r="I820" s="6"/>
      <c r="J820" s="6"/>
      <c r="K820" s="6"/>
    </row>
    <row r="821" spans="5:11">
      <c r="E821" s="6"/>
      <c r="F821" s="6"/>
      <c r="G821" s="6"/>
      <c r="H821" s="6"/>
      <c r="I821" s="6"/>
      <c r="J821" s="6"/>
      <c r="K821" s="6"/>
    </row>
    <row r="822" spans="5:11">
      <c r="E822" s="6"/>
      <c r="F822" s="6"/>
      <c r="G822" s="6"/>
      <c r="H822" s="6"/>
      <c r="I822" s="6"/>
      <c r="J822" s="6"/>
      <c r="K822" s="6"/>
    </row>
    <row r="823" spans="5:11">
      <c r="E823" s="6"/>
      <c r="F823" s="6"/>
      <c r="G823" s="6"/>
      <c r="H823" s="6"/>
      <c r="I823" s="6"/>
      <c r="J823" s="6"/>
      <c r="K823" s="6"/>
    </row>
    <row r="824" spans="5:11">
      <c r="E824" s="6"/>
      <c r="F824" s="6"/>
      <c r="G824" s="6"/>
      <c r="H824" s="6"/>
      <c r="I824" s="6"/>
      <c r="J824" s="6"/>
      <c r="K824" s="6"/>
    </row>
    <row r="825" spans="5:11">
      <c r="E825" s="6"/>
      <c r="F825" s="6"/>
      <c r="G825" s="6"/>
      <c r="H825" s="6"/>
      <c r="I825" s="6"/>
      <c r="J825" s="6"/>
      <c r="K825" s="6"/>
    </row>
    <row r="826" spans="5:11">
      <c r="E826" s="6"/>
      <c r="F826" s="6"/>
      <c r="G826" s="6"/>
      <c r="H826" s="6"/>
      <c r="I826" s="6"/>
      <c r="J826" s="6"/>
      <c r="K826" s="6"/>
    </row>
    <row r="827" spans="5:11">
      <c r="E827" s="6"/>
      <c r="F827" s="6"/>
      <c r="G827" s="6"/>
      <c r="H827" s="6"/>
      <c r="I827" s="6"/>
      <c r="J827" s="6"/>
      <c r="K827" s="6"/>
    </row>
    <row r="828" spans="5:11">
      <c r="E828" s="6"/>
      <c r="F828" s="6"/>
      <c r="G828" s="6"/>
      <c r="H828" s="6"/>
      <c r="I828" s="6"/>
      <c r="J828" s="6"/>
      <c r="K828" s="6"/>
    </row>
    <row r="829" spans="5:11">
      <c r="E829" s="6"/>
      <c r="F829" s="6"/>
      <c r="G829" s="6"/>
      <c r="H829" s="6"/>
      <c r="I829" s="6"/>
      <c r="J829" s="6"/>
      <c r="K829" s="6"/>
    </row>
    <row r="830" spans="5:11">
      <c r="E830" s="6"/>
      <c r="F830" s="6"/>
      <c r="G830" s="6"/>
      <c r="H830" s="6"/>
      <c r="I830" s="6"/>
      <c r="J830" s="6"/>
      <c r="K830" s="6"/>
    </row>
    <row r="831" spans="5:11">
      <c r="E831" s="6"/>
      <c r="F831" s="6"/>
      <c r="G831" s="6"/>
      <c r="H831" s="6"/>
      <c r="I831" s="6"/>
      <c r="J831" s="6"/>
      <c r="K831" s="6"/>
    </row>
    <row r="832" spans="5:11">
      <c r="E832" s="6"/>
      <c r="F832" s="6"/>
      <c r="G832" s="6"/>
      <c r="H832" s="6"/>
      <c r="I832" s="6"/>
      <c r="J832" s="6"/>
      <c r="K832" s="6"/>
    </row>
    <row r="833" spans="5:11">
      <c r="E833" s="6"/>
      <c r="F833" s="6"/>
      <c r="G833" s="6"/>
      <c r="H833" s="6"/>
      <c r="I833" s="6"/>
      <c r="J833" s="6"/>
      <c r="K833" s="6"/>
    </row>
    <row r="834" spans="5:11">
      <c r="E834" s="6"/>
      <c r="F834" s="6"/>
      <c r="G834" s="6"/>
      <c r="H834" s="6"/>
      <c r="I834" s="6"/>
      <c r="J834" s="6"/>
      <c r="K834" s="6"/>
    </row>
    <row r="835" spans="5:11">
      <c r="E835" s="6"/>
      <c r="F835" s="6"/>
      <c r="G835" s="6"/>
      <c r="H835" s="6"/>
      <c r="I835" s="6"/>
      <c r="J835" s="6"/>
      <c r="K835" s="6"/>
    </row>
    <row r="836" spans="5:11">
      <c r="E836" s="6"/>
      <c r="F836" s="6"/>
      <c r="G836" s="6"/>
      <c r="H836" s="6"/>
      <c r="I836" s="6"/>
      <c r="J836" s="6"/>
      <c r="K836" s="6"/>
    </row>
    <row r="837" spans="5:11">
      <c r="E837" s="6"/>
      <c r="F837" s="6"/>
      <c r="G837" s="6"/>
      <c r="H837" s="6"/>
      <c r="I837" s="6"/>
      <c r="J837" s="6"/>
      <c r="K837" s="6"/>
    </row>
    <row r="838" spans="5:11">
      <c r="E838" s="6"/>
      <c r="F838" s="6"/>
      <c r="G838" s="6"/>
      <c r="H838" s="6"/>
      <c r="I838" s="6"/>
      <c r="J838" s="6"/>
      <c r="K838" s="6"/>
    </row>
    <row r="839" spans="5:11">
      <c r="E839" s="6"/>
      <c r="F839" s="6"/>
      <c r="G839" s="6"/>
      <c r="H839" s="6"/>
      <c r="I839" s="6"/>
      <c r="J839" s="6"/>
      <c r="K839" s="6"/>
    </row>
    <row r="840" spans="5:11">
      <c r="E840" s="6"/>
      <c r="F840" s="6"/>
      <c r="G840" s="6"/>
      <c r="H840" s="6"/>
      <c r="I840" s="6"/>
      <c r="J840" s="6"/>
      <c r="K840" s="6"/>
    </row>
    <row r="841" spans="5:11">
      <c r="E841" s="6"/>
      <c r="F841" s="6"/>
      <c r="G841" s="6"/>
      <c r="H841" s="6"/>
      <c r="I841" s="6"/>
      <c r="J841" s="6"/>
      <c r="K841" s="6"/>
    </row>
    <row r="842" spans="5:11">
      <c r="E842" s="6"/>
      <c r="F842" s="6"/>
      <c r="G842" s="6"/>
      <c r="H842" s="6"/>
      <c r="I842" s="6"/>
      <c r="J842" s="6"/>
      <c r="K842" s="6"/>
    </row>
    <row r="843" spans="5:11">
      <c r="E843" s="6"/>
      <c r="F843" s="6"/>
      <c r="G843" s="6"/>
      <c r="H843" s="6"/>
      <c r="I843" s="6"/>
      <c r="J843" s="6"/>
      <c r="K843" s="6"/>
    </row>
    <row r="844" spans="5:11">
      <c r="E844" s="6"/>
      <c r="F844" s="6"/>
      <c r="G844" s="6"/>
      <c r="H844" s="6"/>
      <c r="I844" s="6"/>
      <c r="J844" s="6"/>
      <c r="K844" s="6"/>
    </row>
    <row r="845" spans="5:11">
      <c r="E845" s="6"/>
      <c r="F845" s="6"/>
      <c r="G845" s="6"/>
      <c r="H845" s="6"/>
      <c r="I845" s="6"/>
      <c r="J845" s="6"/>
      <c r="K845" s="6"/>
    </row>
    <row r="846" spans="5:11">
      <c r="E846" s="6"/>
      <c r="F846" s="6"/>
      <c r="G846" s="6"/>
      <c r="H846" s="6"/>
      <c r="I846" s="6"/>
      <c r="J846" s="6"/>
      <c r="K846" s="6"/>
    </row>
    <row r="847" spans="5:11">
      <c r="E847" s="6"/>
      <c r="F847" s="6"/>
      <c r="G847" s="6"/>
      <c r="H847" s="6"/>
      <c r="I847" s="6"/>
      <c r="J847" s="6"/>
      <c r="K847" s="6"/>
    </row>
    <row r="848" spans="5:11">
      <c r="E848" s="6"/>
      <c r="F848" s="6"/>
      <c r="G848" s="6"/>
      <c r="H848" s="6"/>
      <c r="I848" s="6"/>
      <c r="J848" s="6"/>
      <c r="K848" s="6"/>
    </row>
    <row r="849" spans="5:11">
      <c r="E849" s="6"/>
      <c r="F849" s="6"/>
      <c r="G849" s="6"/>
      <c r="H849" s="6"/>
      <c r="I849" s="6"/>
      <c r="J849" s="6"/>
      <c r="K849" s="6"/>
    </row>
    <row r="850" spans="5:11">
      <c r="E850" s="6"/>
      <c r="F850" s="6"/>
      <c r="G850" s="6"/>
      <c r="H850" s="6"/>
      <c r="I850" s="6"/>
      <c r="J850" s="6"/>
      <c r="K850" s="6"/>
    </row>
    <row r="851" spans="5:11">
      <c r="E851" s="6"/>
      <c r="F851" s="6"/>
      <c r="G851" s="6"/>
      <c r="H851" s="6"/>
      <c r="I851" s="6"/>
      <c r="J851" s="6"/>
      <c r="K851" s="6"/>
    </row>
    <row r="852" spans="5:11">
      <c r="E852" s="6"/>
      <c r="F852" s="6"/>
      <c r="G852" s="6"/>
      <c r="H852" s="6"/>
      <c r="I852" s="6"/>
      <c r="J852" s="6"/>
      <c r="K852" s="6"/>
    </row>
    <row r="853" spans="5:11">
      <c r="E853" s="6"/>
      <c r="F853" s="6"/>
      <c r="G853" s="6"/>
      <c r="H853" s="6"/>
      <c r="I853" s="6"/>
      <c r="J853" s="6"/>
      <c r="K853" s="6"/>
    </row>
    <row r="854" spans="5:11">
      <c r="E854" s="6"/>
      <c r="F854" s="6"/>
      <c r="G854" s="6"/>
      <c r="H854" s="6"/>
      <c r="I854" s="6"/>
      <c r="J854" s="6"/>
      <c r="K854" s="6"/>
    </row>
    <row r="855" spans="5:11">
      <c r="E855" s="6"/>
      <c r="F855" s="6"/>
      <c r="G855" s="6"/>
      <c r="H855" s="6"/>
      <c r="I855" s="6"/>
      <c r="J855" s="6"/>
      <c r="K855" s="6"/>
    </row>
    <row r="856" spans="5:11">
      <c r="E856" s="6"/>
      <c r="F856" s="6"/>
      <c r="G856" s="6"/>
      <c r="H856" s="6"/>
      <c r="I856" s="6"/>
      <c r="J856" s="6"/>
      <c r="K856" s="6"/>
    </row>
    <row r="857" spans="5:11">
      <c r="E857" s="6"/>
      <c r="F857" s="6"/>
      <c r="G857" s="6"/>
      <c r="H857" s="6"/>
      <c r="I857" s="6"/>
      <c r="J857" s="6"/>
      <c r="K857" s="6"/>
    </row>
    <row r="858" spans="5:11">
      <c r="E858" s="6"/>
      <c r="F858" s="6"/>
      <c r="G858" s="6"/>
      <c r="H858" s="6"/>
      <c r="I858" s="6"/>
      <c r="J858" s="6"/>
      <c r="K858" s="6"/>
    </row>
    <row r="859" spans="5:11">
      <c r="E859" s="6"/>
      <c r="F859" s="6"/>
      <c r="G859" s="6"/>
      <c r="H859" s="6"/>
      <c r="I859" s="6"/>
      <c r="J859" s="6"/>
      <c r="K859" s="6"/>
    </row>
    <row r="860" spans="5:11">
      <c r="E860" s="6"/>
      <c r="F860" s="6"/>
      <c r="G860" s="6"/>
      <c r="H860" s="6"/>
      <c r="I860" s="6"/>
      <c r="J860" s="6"/>
      <c r="K860" s="6"/>
    </row>
    <row r="861" spans="5:11">
      <c r="E861" s="6"/>
      <c r="F861" s="6"/>
      <c r="G861" s="6"/>
      <c r="H861" s="6"/>
      <c r="I861" s="6"/>
      <c r="J861" s="6"/>
      <c r="K861" s="6"/>
    </row>
    <row r="862" spans="5:11">
      <c r="E862" s="6"/>
      <c r="F862" s="6"/>
      <c r="G862" s="6"/>
      <c r="H862" s="6"/>
      <c r="I862" s="6"/>
      <c r="J862" s="6"/>
      <c r="K862" s="6"/>
    </row>
    <row r="863" spans="5:11">
      <c r="E863" s="6"/>
      <c r="F863" s="6"/>
      <c r="G863" s="6"/>
      <c r="H863" s="6"/>
      <c r="I863" s="6"/>
      <c r="J863" s="6"/>
      <c r="K863" s="6"/>
    </row>
    <row r="864" spans="5:11">
      <c r="E864" s="6"/>
      <c r="F864" s="6"/>
      <c r="G864" s="6"/>
      <c r="H864" s="6"/>
      <c r="I864" s="6"/>
      <c r="J864" s="6"/>
      <c r="K864" s="6"/>
    </row>
    <row r="865" spans="5:11">
      <c r="E865" s="6"/>
      <c r="F865" s="6"/>
      <c r="G865" s="6"/>
      <c r="H865" s="6"/>
      <c r="I865" s="6"/>
      <c r="J865" s="6"/>
      <c r="K865" s="6"/>
    </row>
    <row r="866" spans="5:11">
      <c r="E866" s="6"/>
      <c r="F866" s="6"/>
      <c r="G866" s="6"/>
      <c r="H866" s="6"/>
      <c r="I866" s="6"/>
      <c r="J866" s="6"/>
      <c r="K866" s="6"/>
    </row>
    <row r="867" spans="5:11">
      <c r="E867" s="6"/>
      <c r="F867" s="6"/>
      <c r="G867" s="6"/>
      <c r="H867" s="6"/>
      <c r="I867" s="6"/>
      <c r="J867" s="6"/>
      <c r="K867" s="6"/>
    </row>
    <row r="868" spans="5:11">
      <c r="E868" s="6"/>
      <c r="F868" s="6"/>
      <c r="G868" s="6"/>
      <c r="H868" s="6"/>
      <c r="I868" s="6"/>
      <c r="J868" s="6"/>
      <c r="K868" s="6"/>
    </row>
    <row r="869" spans="5:11">
      <c r="E869" s="6"/>
      <c r="F869" s="6"/>
      <c r="G869" s="6"/>
      <c r="H869" s="6"/>
      <c r="I869" s="6"/>
      <c r="J869" s="6"/>
      <c r="K869" s="6"/>
    </row>
    <row r="870" spans="5:11">
      <c r="E870" s="6"/>
      <c r="F870" s="6"/>
      <c r="G870" s="6"/>
      <c r="H870" s="6"/>
      <c r="I870" s="6"/>
      <c r="J870" s="6"/>
      <c r="K870" s="6"/>
    </row>
    <row r="871" spans="5:11">
      <c r="E871" s="6"/>
      <c r="F871" s="6"/>
      <c r="G871" s="6"/>
      <c r="H871" s="6"/>
      <c r="I871" s="6"/>
      <c r="J871" s="6"/>
      <c r="K871" s="6"/>
    </row>
    <row r="872" spans="5:11">
      <c r="E872" s="6"/>
      <c r="F872" s="6"/>
      <c r="G872" s="6"/>
      <c r="H872" s="6"/>
      <c r="I872" s="6"/>
      <c r="J872" s="6"/>
      <c r="K872" s="6"/>
    </row>
    <row r="873" spans="5:11">
      <c r="E873" s="6"/>
      <c r="F873" s="6"/>
      <c r="G873" s="6"/>
      <c r="H873" s="6"/>
      <c r="I873" s="6"/>
      <c r="J873" s="6"/>
      <c r="K873" s="6"/>
    </row>
    <row r="874" spans="5:11">
      <c r="E874" s="6"/>
      <c r="F874" s="6"/>
      <c r="G874" s="6"/>
      <c r="H874" s="6"/>
      <c r="I874" s="6"/>
      <c r="J874" s="6"/>
      <c r="K874" s="6"/>
    </row>
    <row r="875" spans="5:11">
      <c r="E875" s="6"/>
      <c r="F875" s="6"/>
      <c r="G875" s="6"/>
      <c r="H875" s="6"/>
      <c r="I875" s="6"/>
      <c r="J875" s="6"/>
      <c r="K875" s="6"/>
    </row>
    <row r="876" spans="5:11">
      <c r="E876" s="6"/>
      <c r="F876" s="6"/>
      <c r="G876" s="6"/>
      <c r="H876" s="6"/>
      <c r="I876" s="6"/>
      <c r="J876" s="6"/>
      <c r="K876" s="6"/>
    </row>
    <row r="877" spans="5:11">
      <c r="E877" s="6"/>
      <c r="F877" s="6"/>
      <c r="G877" s="6"/>
      <c r="H877" s="6"/>
      <c r="I877" s="6"/>
      <c r="J877" s="6"/>
      <c r="K877" s="6"/>
    </row>
    <row r="878" spans="5:11">
      <c r="E878" s="6"/>
      <c r="F878" s="6"/>
      <c r="G878" s="6"/>
      <c r="H878" s="6"/>
      <c r="I878" s="6"/>
      <c r="J878" s="6"/>
      <c r="K878" s="6"/>
    </row>
    <row r="879" spans="5:11">
      <c r="E879" s="6"/>
      <c r="F879" s="6"/>
      <c r="G879" s="6"/>
      <c r="H879" s="6"/>
      <c r="I879" s="6"/>
      <c r="J879" s="6"/>
      <c r="K879" s="6"/>
    </row>
    <row r="880" spans="5:11">
      <c r="E880" s="6"/>
      <c r="F880" s="6"/>
      <c r="G880" s="6"/>
      <c r="H880" s="6"/>
      <c r="I880" s="6"/>
      <c r="J880" s="6"/>
      <c r="K880" s="6"/>
    </row>
    <row r="881" spans="5:11">
      <c r="E881" s="6"/>
      <c r="F881" s="6"/>
      <c r="G881" s="6"/>
      <c r="H881" s="6"/>
      <c r="I881" s="6"/>
      <c r="J881" s="6"/>
      <c r="K881" s="6"/>
    </row>
    <row r="882" spans="5:11">
      <c r="E882" s="6"/>
      <c r="F882" s="6"/>
      <c r="G882" s="6"/>
      <c r="H882" s="6"/>
      <c r="I882" s="6"/>
      <c r="J882" s="6"/>
      <c r="K882" s="6"/>
    </row>
    <row r="883" spans="5:11">
      <c r="E883" s="6"/>
      <c r="F883" s="6"/>
      <c r="G883" s="6"/>
      <c r="H883" s="6"/>
      <c r="I883" s="6"/>
      <c r="J883" s="6"/>
      <c r="K883" s="6"/>
    </row>
    <row r="884" spans="5:11">
      <c r="E884" s="6"/>
      <c r="F884" s="6"/>
      <c r="G884" s="6"/>
      <c r="H884" s="6"/>
      <c r="I884" s="6"/>
      <c r="J884" s="6"/>
      <c r="K884" s="6"/>
    </row>
    <row r="885" spans="5:11">
      <c r="E885" s="6"/>
      <c r="F885" s="6"/>
      <c r="G885" s="6"/>
      <c r="H885" s="6"/>
      <c r="I885" s="6"/>
      <c r="J885" s="6"/>
      <c r="K885" s="6"/>
    </row>
    <row r="886" spans="5:11">
      <c r="E886" s="6"/>
      <c r="F886" s="6"/>
      <c r="G886" s="6"/>
      <c r="H886" s="6"/>
      <c r="I886" s="6"/>
      <c r="J886" s="6"/>
      <c r="K886" s="6"/>
    </row>
    <row r="887" spans="5:11">
      <c r="E887" s="6"/>
      <c r="F887" s="6"/>
      <c r="G887" s="6"/>
      <c r="H887" s="6"/>
      <c r="I887" s="6"/>
      <c r="J887" s="6"/>
      <c r="K887" s="6"/>
    </row>
    <row r="888" spans="5:11">
      <c r="E888" s="6"/>
      <c r="F888" s="6"/>
      <c r="G888" s="6"/>
      <c r="H888" s="6"/>
      <c r="I888" s="6"/>
      <c r="J888" s="6"/>
      <c r="K888" s="6"/>
    </row>
    <row r="889" spans="5:11">
      <c r="E889" s="6"/>
      <c r="F889" s="6"/>
      <c r="G889" s="6"/>
      <c r="H889" s="6"/>
      <c r="I889" s="6"/>
      <c r="J889" s="6"/>
      <c r="K889" s="6"/>
    </row>
    <row r="890" spans="5:11">
      <c r="E890" s="6"/>
      <c r="F890" s="6"/>
      <c r="G890" s="6"/>
      <c r="H890" s="6"/>
      <c r="I890" s="6"/>
      <c r="J890" s="6"/>
      <c r="K890" s="6"/>
    </row>
    <row r="891" spans="5:11">
      <c r="E891" s="6"/>
      <c r="F891" s="6"/>
      <c r="G891" s="6"/>
      <c r="H891" s="6"/>
      <c r="I891" s="6"/>
      <c r="J891" s="6"/>
      <c r="K891" s="6"/>
    </row>
    <row r="892" spans="5:11">
      <c r="E892" s="6"/>
      <c r="F892" s="6"/>
      <c r="G892" s="6"/>
      <c r="H892" s="6"/>
      <c r="I892" s="6"/>
      <c r="J892" s="6"/>
      <c r="K892" s="6"/>
    </row>
    <row r="893" spans="5:11">
      <c r="E893" s="6"/>
      <c r="F893" s="6"/>
      <c r="G893" s="6"/>
      <c r="H893" s="6"/>
      <c r="I893" s="6"/>
      <c r="J893" s="6"/>
      <c r="K893" s="6"/>
    </row>
    <row r="894" spans="5:11">
      <c r="E894" s="6"/>
      <c r="F894" s="6"/>
      <c r="G894" s="6"/>
      <c r="H894" s="6"/>
      <c r="I894" s="6"/>
      <c r="J894" s="6"/>
      <c r="K894" s="6"/>
    </row>
    <row r="895" spans="5:11">
      <c r="E895" s="6"/>
      <c r="F895" s="6"/>
      <c r="G895" s="6"/>
      <c r="H895" s="6"/>
      <c r="I895" s="6"/>
      <c r="J895" s="6"/>
      <c r="K895" s="6"/>
    </row>
    <row r="896" spans="5:11">
      <c r="E896" s="6"/>
      <c r="F896" s="6"/>
      <c r="G896" s="6"/>
      <c r="H896" s="6"/>
      <c r="I896" s="6"/>
      <c r="J896" s="6"/>
      <c r="K896" s="6"/>
    </row>
    <row r="897" spans="5:11">
      <c r="E897" s="6"/>
      <c r="F897" s="6"/>
      <c r="G897" s="6"/>
      <c r="H897" s="6"/>
      <c r="I897" s="6"/>
      <c r="J897" s="6"/>
      <c r="K897" s="6"/>
    </row>
    <row r="898" spans="5:11">
      <c r="E898" s="6"/>
      <c r="F898" s="6"/>
      <c r="G898" s="6"/>
      <c r="H898" s="6"/>
      <c r="I898" s="6"/>
      <c r="J898" s="6"/>
      <c r="K898" s="6"/>
    </row>
    <row r="899" spans="5:11">
      <c r="E899" s="6"/>
      <c r="F899" s="6"/>
      <c r="G899" s="6"/>
      <c r="H899" s="6"/>
      <c r="I899" s="6"/>
      <c r="J899" s="6"/>
      <c r="K899" s="6"/>
    </row>
    <row r="900" spans="5:11">
      <c r="E900" s="6"/>
      <c r="F900" s="6"/>
      <c r="G900" s="6"/>
      <c r="H900" s="6"/>
      <c r="I900" s="6"/>
      <c r="J900" s="6"/>
      <c r="K900" s="6"/>
    </row>
    <row r="901" spans="5:11">
      <c r="E901" s="6"/>
      <c r="F901" s="6"/>
      <c r="G901" s="6"/>
      <c r="H901" s="6"/>
      <c r="I901" s="6"/>
      <c r="J901" s="6"/>
      <c r="K901" s="6"/>
    </row>
    <row r="902" spans="5:11">
      <c r="E902" s="6"/>
      <c r="F902" s="6"/>
      <c r="G902" s="6"/>
      <c r="H902" s="6"/>
      <c r="I902" s="6"/>
      <c r="J902" s="6"/>
      <c r="K902" s="6"/>
    </row>
    <row r="903" spans="5:11">
      <c r="E903" s="6"/>
      <c r="F903" s="6"/>
      <c r="G903" s="6"/>
      <c r="H903" s="6"/>
      <c r="I903" s="6"/>
      <c r="J903" s="6"/>
      <c r="K903" s="6"/>
    </row>
    <row r="904" spans="5:11">
      <c r="E904" s="6"/>
      <c r="F904" s="6"/>
      <c r="G904" s="6"/>
      <c r="H904" s="6"/>
      <c r="I904" s="6"/>
      <c r="J904" s="6"/>
      <c r="K904" s="6"/>
    </row>
    <row r="905" spans="5:11">
      <c r="E905" s="6"/>
      <c r="F905" s="6"/>
      <c r="G905" s="6"/>
      <c r="H905" s="6"/>
      <c r="I905" s="6"/>
      <c r="J905" s="6"/>
      <c r="K905" s="6"/>
    </row>
    <row r="906" spans="5:11">
      <c r="E906" s="6"/>
      <c r="F906" s="6"/>
      <c r="G906" s="6"/>
      <c r="H906" s="6"/>
      <c r="I906" s="6"/>
      <c r="J906" s="6"/>
      <c r="K906" s="6"/>
    </row>
    <row r="907" spans="5:11">
      <c r="E907" s="6"/>
      <c r="F907" s="6"/>
      <c r="G907" s="6"/>
      <c r="H907" s="6"/>
      <c r="I907" s="6"/>
      <c r="J907" s="6"/>
      <c r="K907" s="6"/>
    </row>
    <row r="908" spans="5:11">
      <c r="E908" s="6"/>
      <c r="F908" s="6"/>
      <c r="G908" s="6"/>
      <c r="H908" s="6"/>
      <c r="I908" s="6"/>
      <c r="J908" s="6"/>
      <c r="K908" s="6"/>
    </row>
    <row r="909" spans="5:11">
      <c r="E909" s="6"/>
      <c r="F909" s="6"/>
      <c r="G909" s="6"/>
      <c r="H909" s="6"/>
      <c r="I909" s="6"/>
      <c r="J909" s="6"/>
      <c r="K909" s="6"/>
    </row>
    <row r="910" spans="5:11">
      <c r="E910" s="6"/>
      <c r="F910" s="6"/>
      <c r="G910" s="6"/>
      <c r="H910" s="6"/>
      <c r="I910" s="6"/>
      <c r="J910" s="6"/>
      <c r="K910" s="6"/>
    </row>
    <row r="911" spans="5:11">
      <c r="E911" s="6"/>
      <c r="F911" s="6"/>
      <c r="G911" s="6"/>
      <c r="H911" s="6"/>
      <c r="I911" s="6"/>
      <c r="J911" s="6"/>
      <c r="K911" s="6"/>
    </row>
    <row r="912" spans="5:11">
      <c r="E912" s="6"/>
      <c r="F912" s="6"/>
      <c r="G912" s="6"/>
      <c r="H912" s="6"/>
      <c r="I912" s="6"/>
      <c r="J912" s="6"/>
      <c r="K912" s="6"/>
    </row>
    <row r="913" spans="5:11">
      <c r="E913" s="6"/>
      <c r="F913" s="6"/>
      <c r="G913" s="6"/>
      <c r="H913" s="6"/>
      <c r="I913" s="6"/>
      <c r="J913" s="6"/>
      <c r="K913" s="6"/>
    </row>
    <row r="914" spans="5:11">
      <c r="E914" s="6"/>
      <c r="F914" s="6"/>
      <c r="G914" s="6"/>
      <c r="H914" s="6"/>
      <c r="I914" s="6"/>
      <c r="J914" s="6"/>
      <c r="K914" s="6"/>
    </row>
    <row r="915" spans="5:11">
      <c r="E915" s="6"/>
      <c r="F915" s="6"/>
      <c r="G915" s="6"/>
      <c r="H915" s="6"/>
      <c r="I915" s="6"/>
      <c r="J915" s="6"/>
      <c r="K915" s="6"/>
    </row>
    <row r="916" spans="5:11">
      <c r="E916" s="6"/>
      <c r="F916" s="6"/>
      <c r="G916" s="6"/>
      <c r="H916" s="6"/>
      <c r="I916" s="6"/>
      <c r="J916" s="6"/>
      <c r="K916" s="6"/>
    </row>
    <row r="917" spans="5:11">
      <c r="E917" s="6"/>
      <c r="F917" s="6"/>
      <c r="G917" s="6"/>
      <c r="H917" s="6"/>
      <c r="I917" s="6"/>
      <c r="J917" s="6"/>
      <c r="K917" s="6"/>
    </row>
    <row r="918" spans="5:11">
      <c r="E918" s="6"/>
      <c r="F918" s="6"/>
      <c r="G918" s="6"/>
      <c r="H918" s="6"/>
      <c r="I918" s="6"/>
      <c r="J918" s="6"/>
      <c r="K918" s="6"/>
    </row>
    <row r="919" spans="5:11">
      <c r="E919" s="6"/>
      <c r="F919" s="6"/>
      <c r="G919" s="6"/>
      <c r="H919" s="6"/>
      <c r="I919" s="6"/>
      <c r="J919" s="6"/>
      <c r="K919" s="6"/>
    </row>
    <row r="920" spans="5:11">
      <c r="E920" s="6"/>
      <c r="F920" s="6"/>
      <c r="G920" s="6"/>
      <c r="H920" s="6"/>
      <c r="I920" s="6"/>
      <c r="J920" s="6"/>
      <c r="K920" s="6"/>
    </row>
    <row r="921" spans="5:11">
      <c r="E921" s="6"/>
      <c r="F921" s="6"/>
      <c r="G921" s="6"/>
      <c r="H921" s="6"/>
      <c r="I921" s="6"/>
      <c r="J921" s="6"/>
      <c r="K921" s="6"/>
    </row>
    <row r="922" spans="5:11">
      <c r="E922" s="6"/>
      <c r="F922" s="6"/>
      <c r="G922" s="6"/>
      <c r="H922" s="6"/>
      <c r="I922" s="6"/>
      <c r="J922" s="6"/>
      <c r="K922" s="6"/>
    </row>
    <row r="923" spans="5:11">
      <c r="E923" s="6"/>
      <c r="F923" s="6"/>
      <c r="G923" s="6"/>
      <c r="H923" s="6"/>
      <c r="I923" s="6"/>
      <c r="J923" s="6"/>
      <c r="K923" s="6"/>
    </row>
    <row r="924" spans="5:11">
      <c r="E924" s="6"/>
      <c r="F924" s="6"/>
      <c r="G924" s="6"/>
      <c r="H924" s="6"/>
      <c r="I924" s="6"/>
      <c r="J924" s="6"/>
      <c r="K924" s="6"/>
    </row>
    <row r="925" spans="5:11">
      <c r="E925" s="6"/>
      <c r="F925" s="6"/>
      <c r="G925" s="6"/>
      <c r="H925" s="6"/>
      <c r="I925" s="6"/>
      <c r="J925" s="6"/>
      <c r="K925" s="6"/>
    </row>
    <row r="926" spans="5:11">
      <c r="E926" s="6"/>
      <c r="F926" s="6"/>
      <c r="G926" s="6"/>
      <c r="H926" s="6"/>
      <c r="I926" s="6"/>
      <c r="J926" s="6"/>
      <c r="K926" s="6"/>
    </row>
    <row r="927" spans="5:11">
      <c r="E927" s="6"/>
      <c r="F927" s="6"/>
      <c r="G927" s="6"/>
      <c r="H927" s="6"/>
      <c r="I927" s="6"/>
      <c r="J927" s="6"/>
      <c r="K927" s="6"/>
    </row>
    <row r="928" spans="5:11">
      <c r="E928" s="6"/>
      <c r="F928" s="6"/>
      <c r="G928" s="6"/>
      <c r="H928" s="6"/>
      <c r="I928" s="6"/>
      <c r="J928" s="6"/>
      <c r="K928" s="6"/>
    </row>
    <row r="929" spans="5:11">
      <c r="E929" s="6"/>
      <c r="F929" s="6"/>
      <c r="G929" s="6"/>
      <c r="H929" s="6"/>
      <c r="I929" s="6"/>
      <c r="J929" s="6"/>
      <c r="K929" s="6"/>
    </row>
    <row r="930" spans="5:11">
      <c r="E930" s="6"/>
      <c r="F930" s="6"/>
      <c r="G930" s="6"/>
      <c r="H930" s="6"/>
      <c r="I930" s="6"/>
      <c r="J930" s="6"/>
      <c r="K930" s="6"/>
    </row>
    <row r="931" spans="5:11">
      <c r="E931" s="6"/>
      <c r="F931" s="6"/>
      <c r="G931" s="6"/>
      <c r="H931" s="6"/>
      <c r="I931" s="6"/>
      <c r="J931" s="6"/>
      <c r="K931" s="6"/>
    </row>
    <row r="932" spans="5:11">
      <c r="E932" s="6"/>
      <c r="F932" s="6"/>
      <c r="G932" s="6"/>
      <c r="H932" s="6"/>
      <c r="I932" s="6"/>
      <c r="J932" s="6"/>
      <c r="K932" s="6"/>
    </row>
    <row r="933" spans="5:11">
      <c r="E933" s="6"/>
      <c r="F933" s="6"/>
      <c r="G933" s="6"/>
      <c r="H933" s="6"/>
      <c r="I933" s="6"/>
      <c r="J933" s="6"/>
      <c r="K933" s="6"/>
    </row>
    <row r="934" spans="5:11">
      <c r="E934" s="6"/>
      <c r="F934" s="6"/>
      <c r="G934" s="6"/>
      <c r="H934" s="6"/>
      <c r="I934" s="6"/>
      <c r="J934" s="6"/>
      <c r="K934" s="6"/>
    </row>
    <row r="935" spans="5:11">
      <c r="E935" s="6"/>
      <c r="F935" s="6"/>
      <c r="G935" s="6"/>
      <c r="H935" s="6"/>
      <c r="I935" s="6"/>
      <c r="J935" s="6"/>
      <c r="K935" s="6"/>
    </row>
    <row r="936" spans="5:11">
      <c r="E936" s="6"/>
      <c r="F936" s="6"/>
      <c r="G936" s="6"/>
      <c r="H936" s="6"/>
      <c r="I936" s="6"/>
      <c r="J936" s="6"/>
      <c r="K936" s="6"/>
    </row>
    <row r="937" spans="5:11">
      <c r="E937" s="6"/>
      <c r="F937" s="6"/>
      <c r="G937" s="6"/>
      <c r="H937" s="6"/>
      <c r="I937" s="6"/>
      <c r="J937" s="6"/>
      <c r="K937" s="6"/>
    </row>
    <row r="938" spans="5:11">
      <c r="E938" s="6"/>
      <c r="F938" s="6"/>
      <c r="G938" s="6"/>
      <c r="H938" s="6"/>
      <c r="I938" s="6"/>
      <c r="J938" s="6"/>
      <c r="K938" s="6"/>
    </row>
    <row r="939" spans="5:11">
      <c r="E939" s="6"/>
      <c r="F939" s="6"/>
      <c r="G939" s="6"/>
      <c r="H939" s="6"/>
      <c r="I939" s="6"/>
      <c r="J939" s="6"/>
      <c r="K939" s="6"/>
    </row>
    <row r="940" spans="5:11">
      <c r="E940" s="6"/>
      <c r="F940" s="6"/>
      <c r="G940" s="6"/>
      <c r="H940" s="6"/>
      <c r="I940" s="6"/>
      <c r="J940" s="6"/>
      <c r="K940" s="6"/>
    </row>
    <row r="941" spans="5:11">
      <c r="E941" s="6"/>
      <c r="F941" s="6"/>
      <c r="G941" s="6"/>
      <c r="H941" s="6"/>
      <c r="I941" s="6"/>
      <c r="J941" s="6"/>
      <c r="K941" s="6"/>
    </row>
    <row r="942" spans="5:11">
      <c r="E942" s="6"/>
      <c r="F942" s="6"/>
      <c r="G942" s="6"/>
      <c r="H942" s="6"/>
      <c r="I942" s="6"/>
      <c r="J942" s="6"/>
      <c r="K942" s="6"/>
    </row>
    <row r="943" spans="5:11">
      <c r="E943" s="6"/>
      <c r="F943" s="6"/>
      <c r="G943" s="6"/>
      <c r="H943" s="6"/>
      <c r="I943" s="6"/>
      <c r="J943" s="6"/>
      <c r="K943" s="6"/>
    </row>
    <row r="944" spans="5:11">
      <c r="E944" s="6"/>
      <c r="F944" s="6"/>
      <c r="G944" s="6"/>
      <c r="H944" s="6"/>
      <c r="I944" s="6"/>
      <c r="J944" s="6"/>
      <c r="K944" s="6"/>
    </row>
    <row r="945" spans="5:11">
      <c r="E945" s="6"/>
      <c r="F945" s="6"/>
      <c r="G945" s="6"/>
      <c r="H945" s="6"/>
      <c r="I945" s="6"/>
      <c r="J945" s="6"/>
      <c r="K945" s="6"/>
    </row>
    <row r="946" spans="5:11">
      <c r="E946" s="6"/>
      <c r="F946" s="6"/>
      <c r="G946" s="6"/>
      <c r="H946" s="6"/>
      <c r="I946" s="6"/>
      <c r="J946" s="6"/>
      <c r="K946" s="6"/>
    </row>
    <row r="947" spans="5:11">
      <c r="E947" s="6"/>
      <c r="F947" s="6"/>
      <c r="G947" s="6"/>
      <c r="H947" s="6"/>
      <c r="I947" s="6"/>
      <c r="J947" s="6"/>
      <c r="K947" s="6"/>
    </row>
    <row r="948" spans="5:11">
      <c r="E948" s="6"/>
      <c r="F948" s="6"/>
      <c r="G948" s="6"/>
      <c r="H948" s="6"/>
      <c r="I948" s="6"/>
      <c r="J948" s="6"/>
      <c r="K948" s="6"/>
    </row>
    <row r="949" spans="5:11">
      <c r="E949" s="6"/>
      <c r="F949" s="6"/>
      <c r="G949" s="6"/>
      <c r="H949" s="6"/>
      <c r="I949" s="6"/>
      <c r="J949" s="6"/>
      <c r="K949" s="6"/>
    </row>
    <row r="950" spans="5:11">
      <c r="E950" s="6"/>
      <c r="F950" s="6"/>
      <c r="G950" s="6"/>
      <c r="H950" s="6"/>
      <c r="I950" s="6"/>
      <c r="J950" s="6"/>
      <c r="K950" s="6"/>
    </row>
    <row r="951" spans="5:11">
      <c r="E951" s="6"/>
      <c r="F951" s="6"/>
      <c r="G951" s="6"/>
      <c r="H951" s="6"/>
      <c r="I951" s="6"/>
      <c r="J951" s="6"/>
      <c r="K951" s="6"/>
    </row>
    <row r="952" spans="5:11">
      <c r="E952" s="6"/>
      <c r="F952" s="6"/>
      <c r="G952" s="6"/>
      <c r="H952" s="6"/>
      <c r="I952" s="6"/>
      <c r="J952" s="6"/>
      <c r="K952" s="6"/>
    </row>
    <row r="953" spans="5:11">
      <c r="E953" s="6"/>
      <c r="F953" s="6"/>
      <c r="G953" s="6"/>
      <c r="H953" s="6"/>
      <c r="I953" s="6"/>
      <c r="J953" s="6"/>
      <c r="K953" s="6"/>
    </row>
    <row r="954" spans="5:11">
      <c r="E954" s="6"/>
      <c r="F954" s="6"/>
      <c r="G954" s="6"/>
      <c r="H954" s="6"/>
      <c r="I954" s="6"/>
      <c r="J954" s="6"/>
      <c r="K954" s="6"/>
    </row>
    <row r="955" spans="5:11">
      <c r="E955" s="6"/>
      <c r="F955" s="6"/>
      <c r="G955" s="6"/>
      <c r="H955" s="6"/>
      <c r="I955" s="6"/>
      <c r="J955" s="6"/>
      <c r="K955" s="6"/>
    </row>
    <row r="956" spans="5:11">
      <c r="E956" s="6"/>
      <c r="F956" s="6"/>
      <c r="G956" s="6"/>
      <c r="H956" s="6"/>
      <c r="I956" s="6"/>
      <c r="J956" s="6"/>
      <c r="K956" s="6"/>
    </row>
    <row r="957" spans="5:11">
      <c r="E957" s="6"/>
      <c r="F957" s="6"/>
      <c r="G957" s="6"/>
      <c r="H957" s="6"/>
      <c r="I957" s="6"/>
      <c r="J957" s="6"/>
      <c r="K957" s="6"/>
    </row>
    <row r="958" spans="5:11">
      <c r="E958" s="6"/>
      <c r="F958" s="6"/>
      <c r="G958" s="6"/>
      <c r="H958" s="6"/>
      <c r="I958" s="6"/>
      <c r="J958" s="6"/>
      <c r="K958" s="6"/>
    </row>
    <row r="959" spans="5:11">
      <c r="E959" s="6"/>
      <c r="F959" s="6"/>
      <c r="G959" s="6"/>
      <c r="H959" s="6"/>
      <c r="I959" s="6"/>
      <c r="J959" s="6"/>
      <c r="K959" s="6"/>
    </row>
    <row r="960" spans="5:11">
      <c r="E960" s="6"/>
      <c r="F960" s="6"/>
      <c r="G960" s="6"/>
      <c r="H960" s="6"/>
      <c r="I960" s="6"/>
      <c r="J960" s="6"/>
      <c r="K960" s="6"/>
    </row>
    <row r="961" spans="5:11">
      <c r="E961" s="6"/>
      <c r="F961" s="6"/>
      <c r="G961" s="6"/>
      <c r="H961" s="6"/>
      <c r="I961" s="6"/>
      <c r="J961" s="6"/>
      <c r="K961" s="6"/>
    </row>
    <row r="962" spans="5:11">
      <c r="E962" s="6"/>
      <c r="F962" s="6"/>
      <c r="G962" s="6"/>
      <c r="H962" s="6"/>
      <c r="I962" s="6"/>
      <c r="J962" s="6"/>
      <c r="K962" s="6"/>
    </row>
    <row r="963" spans="5:11">
      <c r="E963" s="6"/>
      <c r="F963" s="6"/>
      <c r="G963" s="6"/>
      <c r="H963" s="6"/>
      <c r="I963" s="6"/>
      <c r="J963" s="6"/>
      <c r="K963" s="6"/>
    </row>
    <row r="964" spans="5:11">
      <c r="E964" s="6"/>
      <c r="F964" s="6"/>
      <c r="G964" s="6"/>
      <c r="H964" s="6"/>
      <c r="I964" s="6"/>
      <c r="J964" s="6"/>
      <c r="K964" s="6"/>
    </row>
    <row r="965" spans="5:11">
      <c r="E965" s="6"/>
      <c r="F965" s="6"/>
      <c r="G965" s="6"/>
      <c r="H965" s="6"/>
      <c r="I965" s="6"/>
      <c r="J965" s="6"/>
      <c r="K965" s="6"/>
    </row>
    <row r="966" spans="5:11">
      <c r="E966" s="6"/>
      <c r="F966" s="6"/>
      <c r="G966" s="6"/>
      <c r="H966" s="6"/>
      <c r="I966" s="6"/>
      <c r="J966" s="6"/>
      <c r="K966" s="6"/>
    </row>
    <row r="967" spans="5:11">
      <c r="E967" s="6"/>
      <c r="F967" s="6"/>
      <c r="G967" s="6"/>
      <c r="H967" s="6"/>
      <c r="I967" s="6"/>
      <c r="J967" s="6"/>
      <c r="K967" s="6"/>
    </row>
    <row r="968" spans="5:11">
      <c r="E968" s="6"/>
      <c r="F968" s="6"/>
      <c r="G968" s="6"/>
      <c r="H968" s="6"/>
      <c r="I968" s="6"/>
      <c r="J968" s="6"/>
      <c r="K968" s="6"/>
    </row>
    <row r="969" spans="5:11">
      <c r="E969" s="6"/>
      <c r="F969" s="6"/>
      <c r="G969" s="6"/>
      <c r="H969" s="6"/>
      <c r="I969" s="6"/>
      <c r="J969" s="6"/>
      <c r="K969" s="6"/>
    </row>
    <row r="970" spans="5:11">
      <c r="E970" s="6"/>
      <c r="F970" s="6"/>
      <c r="G970" s="6"/>
      <c r="H970" s="6"/>
      <c r="I970" s="6"/>
      <c r="J970" s="6"/>
      <c r="K970" s="6"/>
    </row>
    <row r="971" spans="5:11">
      <c r="E971" s="6"/>
      <c r="F971" s="6"/>
      <c r="G971" s="6"/>
      <c r="H971" s="6"/>
      <c r="I971" s="6"/>
      <c r="J971" s="6"/>
      <c r="K971" s="6"/>
    </row>
    <row r="972" spans="5:11">
      <c r="E972" s="6"/>
      <c r="F972" s="6"/>
      <c r="G972" s="6"/>
      <c r="H972" s="6"/>
      <c r="I972" s="6"/>
      <c r="J972" s="6"/>
      <c r="K972" s="6"/>
    </row>
    <row r="973" spans="5:11">
      <c r="E973" s="6"/>
      <c r="F973" s="6"/>
      <c r="G973" s="6"/>
      <c r="H973" s="6"/>
      <c r="I973" s="6"/>
      <c r="J973" s="6"/>
      <c r="K973" s="6"/>
    </row>
    <row r="974" spans="5:11">
      <c r="E974" s="6"/>
      <c r="F974" s="6"/>
      <c r="G974" s="6"/>
      <c r="H974" s="6"/>
      <c r="I974" s="6"/>
      <c r="J974" s="6"/>
      <c r="K974" s="6"/>
    </row>
    <row r="975" spans="5:11">
      <c r="E975" s="6"/>
      <c r="F975" s="6"/>
      <c r="G975" s="6"/>
      <c r="H975" s="6"/>
      <c r="I975" s="6"/>
      <c r="J975" s="6"/>
      <c r="K975" s="6"/>
    </row>
    <row r="976" spans="5:11">
      <c r="E976" s="6"/>
      <c r="F976" s="6"/>
      <c r="G976" s="6"/>
      <c r="H976" s="6"/>
      <c r="I976" s="6"/>
      <c r="J976" s="6"/>
      <c r="K976" s="6"/>
    </row>
    <row r="977" spans="5:11">
      <c r="E977" s="6"/>
      <c r="F977" s="6"/>
      <c r="G977" s="6"/>
      <c r="H977" s="6"/>
      <c r="I977" s="6"/>
      <c r="J977" s="6"/>
      <c r="K977" s="6"/>
    </row>
    <row r="978" spans="5:11">
      <c r="E978" s="6"/>
      <c r="F978" s="6"/>
      <c r="G978" s="6"/>
      <c r="H978" s="6"/>
      <c r="I978" s="6"/>
      <c r="J978" s="6"/>
      <c r="K978" s="6"/>
    </row>
    <row r="979" spans="5:11">
      <c r="E979" s="6"/>
      <c r="F979" s="6"/>
      <c r="G979" s="6"/>
      <c r="H979" s="6"/>
      <c r="I979" s="6"/>
      <c r="J979" s="6"/>
      <c r="K979" s="6"/>
    </row>
    <row r="980" spans="5:11">
      <c r="E980" s="6"/>
      <c r="F980" s="6"/>
      <c r="G980" s="6"/>
      <c r="H980" s="6"/>
      <c r="I980" s="6"/>
      <c r="J980" s="6"/>
      <c r="K980" s="6"/>
    </row>
    <row r="981" spans="5:11">
      <c r="E981" s="6"/>
      <c r="F981" s="6"/>
      <c r="G981" s="6"/>
      <c r="H981" s="6"/>
      <c r="I981" s="6"/>
      <c r="J981" s="6"/>
      <c r="K981" s="6"/>
    </row>
    <row r="982" spans="5:11">
      <c r="E982" s="6"/>
      <c r="F982" s="6"/>
      <c r="G982" s="6"/>
      <c r="H982" s="6"/>
      <c r="I982" s="6"/>
      <c r="J982" s="6"/>
      <c r="K982" s="6"/>
    </row>
    <row r="983" spans="5:11">
      <c r="E983" s="6"/>
      <c r="F983" s="6"/>
      <c r="G983" s="6"/>
      <c r="H983" s="6"/>
      <c r="I983" s="6"/>
      <c r="J983" s="6"/>
      <c r="K983" s="6"/>
    </row>
    <row r="984" spans="5:11">
      <c r="E984" s="6"/>
      <c r="F984" s="6"/>
      <c r="G984" s="6"/>
      <c r="H984" s="6"/>
      <c r="I984" s="6"/>
      <c r="J984" s="6"/>
      <c r="K984" s="6"/>
    </row>
    <row r="985" spans="5:11">
      <c r="E985" s="6"/>
      <c r="F985" s="6"/>
      <c r="G985" s="6"/>
      <c r="H985" s="6"/>
      <c r="I985" s="6"/>
      <c r="J985" s="6"/>
      <c r="K985" s="6"/>
    </row>
    <row r="986" spans="5:11">
      <c r="E986" s="6"/>
      <c r="F986" s="6"/>
      <c r="G986" s="6"/>
      <c r="H986" s="6"/>
      <c r="I986" s="6"/>
      <c r="J986" s="6"/>
      <c r="K986" s="6"/>
    </row>
    <row r="987" spans="5:11">
      <c r="E987" s="6"/>
      <c r="F987" s="6"/>
      <c r="G987" s="6"/>
      <c r="H987" s="6"/>
      <c r="I987" s="6"/>
      <c r="J987" s="6"/>
      <c r="K987" s="6"/>
    </row>
    <row r="988" spans="5:11">
      <c r="E988" s="6"/>
      <c r="F988" s="6"/>
      <c r="G988" s="6"/>
      <c r="H988" s="6"/>
      <c r="I988" s="6"/>
      <c r="J988" s="6"/>
      <c r="K988" s="6"/>
    </row>
    <row r="989" spans="5:11">
      <c r="E989" s="6"/>
      <c r="F989" s="6"/>
      <c r="G989" s="6"/>
      <c r="H989" s="6"/>
      <c r="I989" s="6"/>
      <c r="J989" s="6"/>
      <c r="K989" s="6"/>
    </row>
    <row r="990" spans="5:11">
      <c r="E990" s="6"/>
      <c r="F990" s="6"/>
      <c r="G990" s="6"/>
      <c r="H990" s="6"/>
      <c r="I990" s="6"/>
      <c r="J990" s="6"/>
      <c r="K990" s="6"/>
    </row>
    <row r="991" spans="5:11">
      <c r="E991" s="6"/>
      <c r="F991" s="6"/>
      <c r="G991" s="6"/>
      <c r="H991" s="6"/>
      <c r="I991" s="6"/>
      <c r="J991" s="6"/>
      <c r="K991" s="6"/>
    </row>
    <row r="992" spans="5:11">
      <c r="E992" s="6"/>
      <c r="F992" s="6"/>
      <c r="G992" s="6"/>
      <c r="H992" s="6"/>
      <c r="I992" s="6"/>
      <c r="J992" s="6"/>
      <c r="K992" s="6"/>
    </row>
    <row r="993" spans="5:11">
      <c r="E993" s="6"/>
      <c r="F993" s="6"/>
      <c r="G993" s="6"/>
      <c r="H993" s="6"/>
      <c r="I993" s="6"/>
      <c r="J993" s="6"/>
      <c r="K993" s="6"/>
    </row>
    <row r="994" spans="5:11">
      <c r="E994" s="6"/>
      <c r="F994" s="6"/>
      <c r="G994" s="6"/>
      <c r="H994" s="6"/>
      <c r="I994" s="6"/>
      <c r="J994" s="6"/>
      <c r="K994" s="6"/>
    </row>
    <row r="995" spans="5:11">
      <c r="E995" s="6"/>
      <c r="F995" s="6"/>
      <c r="G995" s="6"/>
      <c r="H995" s="6"/>
      <c r="I995" s="6"/>
      <c r="J995" s="6"/>
      <c r="K995" s="6"/>
    </row>
    <row r="996" spans="5:11">
      <c r="E996" s="6"/>
      <c r="F996" s="6"/>
      <c r="G996" s="6"/>
      <c r="H996" s="6"/>
      <c r="I996" s="6"/>
      <c r="J996" s="6"/>
      <c r="K996" s="6"/>
    </row>
    <row r="997" spans="5:11">
      <c r="E997" s="6"/>
      <c r="F997" s="6"/>
      <c r="G997" s="6"/>
      <c r="H997" s="6"/>
      <c r="I997" s="6"/>
      <c r="J997" s="6"/>
      <c r="K997" s="6"/>
    </row>
    <row r="998" spans="5:11">
      <c r="E998" s="6"/>
      <c r="F998" s="6"/>
      <c r="G998" s="6"/>
      <c r="H998" s="6"/>
      <c r="I998" s="6"/>
      <c r="J998" s="6"/>
      <c r="K998" s="6"/>
    </row>
    <row r="999" spans="5:11">
      <c r="E999" s="6"/>
      <c r="F999" s="6"/>
      <c r="G999" s="6"/>
      <c r="H999" s="6"/>
      <c r="I999" s="6"/>
      <c r="J999" s="6"/>
      <c r="K999" s="6"/>
    </row>
    <row r="1000" spans="5:11">
      <c r="E1000" s="6"/>
      <c r="F1000" s="6"/>
      <c r="G1000" s="6"/>
      <c r="H1000" s="6"/>
      <c r="I1000" s="6"/>
      <c r="J1000" s="6"/>
      <c r="K1000" s="6"/>
    </row>
    <row r="1001" spans="5:11">
      <c r="E1001" s="6"/>
      <c r="F1001" s="6"/>
      <c r="G1001" s="6"/>
      <c r="H1001" s="6"/>
      <c r="I1001" s="6"/>
      <c r="J1001" s="6"/>
      <c r="K1001" s="6"/>
    </row>
    <row r="1002" spans="5:11">
      <c r="E1002" s="6"/>
      <c r="F1002" s="6"/>
      <c r="G1002" s="6"/>
      <c r="H1002" s="6"/>
      <c r="I1002" s="6"/>
      <c r="J1002" s="6"/>
      <c r="K1002" s="6"/>
    </row>
    <row r="1003" spans="5:11">
      <c r="E1003" s="6"/>
      <c r="F1003" s="6"/>
      <c r="G1003" s="6"/>
      <c r="H1003" s="6"/>
      <c r="I1003" s="6"/>
      <c r="J1003" s="6"/>
      <c r="K1003" s="6"/>
    </row>
    <row r="1004" spans="5:11">
      <c r="E1004" s="6"/>
      <c r="F1004" s="6"/>
      <c r="G1004" s="6"/>
      <c r="H1004" s="6"/>
      <c r="I1004" s="6"/>
      <c r="J1004" s="6"/>
      <c r="K1004" s="6"/>
    </row>
    <row r="1005" spans="5:11">
      <c r="E1005" s="6"/>
      <c r="F1005" s="6"/>
      <c r="G1005" s="6"/>
      <c r="H1005" s="6"/>
      <c r="I1005" s="6"/>
      <c r="J1005" s="6"/>
      <c r="K1005" s="6"/>
    </row>
    <row r="1006" spans="5:11">
      <c r="E1006" s="6"/>
      <c r="F1006" s="6"/>
      <c r="G1006" s="6"/>
      <c r="H1006" s="6"/>
      <c r="I1006" s="6"/>
      <c r="J1006" s="6"/>
      <c r="K1006" s="6"/>
    </row>
    <row r="1007" spans="5:11">
      <c r="E1007" s="6"/>
      <c r="F1007" s="6"/>
      <c r="G1007" s="6"/>
      <c r="H1007" s="6"/>
      <c r="I1007" s="6"/>
      <c r="J1007" s="6"/>
      <c r="K1007" s="6"/>
    </row>
    <row r="1008" spans="5:11">
      <c r="E1008" s="6"/>
      <c r="F1008" s="6"/>
      <c r="G1008" s="6"/>
      <c r="H1008" s="6"/>
      <c r="I1008" s="6"/>
      <c r="J1008" s="6"/>
      <c r="K1008" s="6"/>
    </row>
    <row r="1009" spans="5:11">
      <c r="E1009" s="6"/>
      <c r="F1009" s="6"/>
      <c r="G1009" s="6"/>
      <c r="H1009" s="6"/>
      <c r="I1009" s="6"/>
      <c r="J1009" s="6"/>
      <c r="K1009" s="6"/>
    </row>
    <row r="1010" spans="5:11">
      <c r="E1010" s="6"/>
      <c r="F1010" s="6"/>
      <c r="G1010" s="6"/>
      <c r="H1010" s="6"/>
      <c r="I1010" s="6"/>
      <c r="J1010" s="6"/>
      <c r="K1010" s="6"/>
    </row>
    <row r="1011" spans="5:11">
      <c r="E1011" s="6"/>
      <c r="F1011" s="6"/>
      <c r="G1011" s="6"/>
      <c r="H1011" s="6"/>
      <c r="I1011" s="6"/>
      <c r="J1011" s="6"/>
      <c r="K1011" s="6"/>
    </row>
    <row r="1012" spans="5:11">
      <c r="E1012" s="6"/>
      <c r="F1012" s="6"/>
      <c r="G1012" s="6"/>
      <c r="H1012" s="6"/>
      <c r="I1012" s="6"/>
      <c r="J1012" s="6"/>
      <c r="K1012" s="6"/>
    </row>
    <row r="1013" spans="5:11">
      <c r="E1013" s="6"/>
      <c r="F1013" s="6"/>
      <c r="G1013" s="6"/>
      <c r="H1013" s="6"/>
      <c r="I1013" s="6"/>
      <c r="J1013" s="6"/>
      <c r="K1013" s="6"/>
    </row>
    <row r="1014" spans="5:11">
      <c r="E1014" s="6"/>
      <c r="F1014" s="6"/>
      <c r="G1014" s="6"/>
      <c r="H1014" s="6"/>
      <c r="I1014" s="6"/>
      <c r="J1014" s="6"/>
      <c r="K1014" s="6"/>
    </row>
    <row r="1015" spans="5:11">
      <c r="E1015" s="6"/>
      <c r="F1015" s="6"/>
      <c r="G1015" s="6"/>
      <c r="H1015" s="6"/>
      <c r="I1015" s="6"/>
      <c r="J1015" s="6"/>
      <c r="K1015" s="6"/>
    </row>
    <row r="1016" spans="5:11">
      <c r="E1016" s="6"/>
      <c r="F1016" s="6"/>
      <c r="G1016" s="6"/>
      <c r="H1016" s="6"/>
      <c r="I1016" s="6"/>
      <c r="J1016" s="6"/>
      <c r="K1016" s="6"/>
    </row>
    <row r="1017" spans="5:11">
      <c r="E1017" s="6"/>
      <c r="F1017" s="6"/>
      <c r="G1017" s="6"/>
      <c r="H1017" s="6"/>
      <c r="I1017" s="6"/>
      <c r="J1017" s="6"/>
      <c r="K1017" s="6"/>
    </row>
    <row r="1018" spans="5:11">
      <c r="E1018" s="6"/>
      <c r="F1018" s="6"/>
      <c r="G1018" s="6"/>
      <c r="H1018" s="6"/>
      <c r="I1018" s="6"/>
      <c r="J1018" s="6"/>
      <c r="K1018" s="6"/>
    </row>
    <row r="1019" spans="5:11">
      <c r="E1019" s="6"/>
      <c r="F1019" s="6"/>
      <c r="G1019" s="6"/>
      <c r="H1019" s="6"/>
      <c r="I1019" s="6"/>
      <c r="J1019" s="6"/>
      <c r="K1019" s="6"/>
    </row>
    <row r="1020" spans="5:11">
      <c r="E1020" s="6"/>
      <c r="F1020" s="6"/>
      <c r="G1020" s="6"/>
      <c r="H1020" s="6"/>
      <c r="I1020" s="6"/>
      <c r="J1020" s="6"/>
      <c r="K1020" s="6"/>
    </row>
    <row r="1021" spans="5:11">
      <c r="E1021" s="6"/>
      <c r="F1021" s="6"/>
      <c r="G1021" s="6"/>
      <c r="H1021" s="6"/>
      <c r="I1021" s="6"/>
      <c r="J1021" s="6"/>
      <c r="K1021" s="6"/>
    </row>
    <row r="1022" spans="5:11">
      <c r="E1022" s="6"/>
      <c r="F1022" s="6"/>
      <c r="G1022" s="6"/>
      <c r="H1022" s="6"/>
      <c r="I1022" s="6"/>
      <c r="J1022" s="6"/>
      <c r="K1022" s="6"/>
    </row>
    <row r="1023" spans="5:11">
      <c r="E1023" s="6"/>
      <c r="F1023" s="6"/>
      <c r="G1023" s="6"/>
      <c r="H1023" s="6"/>
      <c r="I1023" s="6"/>
      <c r="J1023" s="6"/>
      <c r="K1023" s="6"/>
    </row>
    <row r="1024" spans="5:11">
      <c r="E1024" s="6"/>
      <c r="F1024" s="6"/>
      <c r="G1024" s="6"/>
      <c r="H1024" s="6"/>
      <c r="I1024" s="6"/>
      <c r="J1024" s="6"/>
      <c r="K1024" s="6"/>
    </row>
    <row r="1025" spans="5:11">
      <c r="E1025" s="6"/>
      <c r="F1025" s="6"/>
      <c r="G1025" s="6"/>
      <c r="H1025" s="6"/>
      <c r="I1025" s="6"/>
      <c r="J1025" s="6"/>
      <c r="K1025" s="6"/>
    </row>
    <row r="1026" spans="5:11">
      <c r="E1026" s="6"/>
      <c r="F1026" s="6"/>
      <c r="G1026" s="6"/>
      <c r="H1026" s="6"/>
      <c r="I1026" s="6"/>
      <c r="J1026" s="6"/>
      <c r="K1026" s="6"/>
    </row>
    <row r="1027" spans="5:11">
      <c r="E1027" s="6"/>
      <c r="F1027" s="6"/>
      <c r="G1027" s="6"/>
      <c r="H1027" s="6"/>
      <c r="I1027" s="6"/>
      <c r="J1027" s="6"/>
      <c r="K1027" s="6"/>
    </row>
    <row r="1028" spans="5:11">
      <c r="E1028" s="6"/>
      <c r="F1028" s="6"/>
      <c r="G1028" s="6"/>
      <c r="H1028" s="6"/>
      <c r="I1028" s="6"/>
      <c r="J1028" s="6"/>
      <c r="K1028" s="6"/>
    </row>
    <row r="1029" spans="5:11">
      <c r="E1029" s="6"/>
      <c r="F1029" s="6"/>
      <c r="G1029" s="6"/>
      <c r="H1029" s="6"/>
      <c r="I1029" s="6"/>
      <c r="J1029" s="6"/>
      <c r="K1029" s="6"/>
    </row>
    <row r="1030" spans="5:11">
      <c r="E1030" s="6"/>
      <c r="F1030" s="6"/>
      <c r="G1030" s="6"/>
      <c r="H1030" s="6"/>
      <c r="I1030" s="6"/>
      <c r="J1030" s="6"/>
      <c r="K1030" s="6"/>
    </row>
    <row r="1031" spans="5:11">
      <c r="E1031" s="6"/>
      <c r="F1031" s="6"/>
      <c r="G1031" s="6"/>
      <c r="H1031" s="6"/>
      <c r="I1031" s="6"/>
      <c r="J1031" s="6"/>
      <c r="K1031" s="6"/>
    </row>
    <row r="1032" spans="5:11">
      <c r="E1032" s="6"/>
      <c r="F1032" s="6"/>
      <c r="G1032" s="6"/>
      <c r="H1032" s="6"/>
      <c r="I1032" s="6"/>
      <c r="J1032" s="6"/>
      <c r="K1032" s="6"/>
    </row>
    <row r="1033" spans="5:11">
      <c r="E1033" s="6"/>
      <c r="F1033" s="6"/>
      <c r="G1033" s="6"/>
      <c r="H1033" s="6"/>
      <c r="I1033" s="6"/>
      <c r="J1033" s="6"/>
      <c r="K1033" s="6"/>
    </row>
    <row r="1034" spans="5:11">
      <c r="E1034" s="6"/>
      <c r="F1034" s="6"/>
      <c r="G1034" s="6"/>
      <c r="H1034" s="6"/>
      <c r="I1034" s="6"/>
      <c r="J1034" s="6"/>
      <c r="K1034" s="6"/>
    </row>
    <row r="1035" spans="5:11">
      <c r="E1035" s="6"/>
      <c r="F1035" s="6"/>
      <c r="G1035" s="6"/>
      <c r="H1035" s="6"/>
      <c r="I1035" s="6"/>
      <c r="J1035" s="6"/>
      <c r="K1035" s="6"/>
    </row>
    <row r="1036" spans="5:11">
      <c r="E1036" s="6"/>
      <c r="F1036" s="6"/>
      <c r="G1036" s="6"/>
      <c r="H1036" s="6"/>
      <c r="I1036" s="6"/>
      <c r="J1036" s="6"/>
      <c r="K1036" s="6"/>
    </row>
    <row r="1037" spans="5:11">
      <c r="E1037" s="6"/>
      <c r="F1037" s="6"/>
      <c r="G1037" s="6"/>
      <c r="H1037" s="6"/>
      <c r="I1037" s="6"/>
      <c r="J1037" s="6"/>
      <c r="K1037" s="6"/>
    </row>
    <row r="1038" spans="5:11">
      <c r="E1038" s="6"/>
      <c r="F1038" s="6"/>
      <c r="G1038" s="6"/>
      <c r="H1038" s="6"/>
      <c r="I1038" s="6"/>
      <c r="J1038" s="6"/>
      <c r="K1038" s="6"/>
    </row>
    <row r="1039" spans="5:11">
      <c r="E1039" s="6"/>
      <c r="F1039" s="6"/>
      <c r="G1039" s="6"/>
      <c r="H1039" s="6"/>
      <c r="I1039" s="6"/>
      <c r="J1039" s="6"/>
      <c r="K1039" s="6"/>
    </row>
    <row r="1040" spans="5:11">
      <c r="E1040" s="6"/>
      <c r="F1040" s="6"/>
      <c r="G1040" s="6"/>
      <c r="H1040" s="6"/>
      <c r="I1040" s="6"/>
      <c r="J1040" s="6"/>
      <c r="K1040" s="6"/>
    </row>
    <row r="1041" spans="5:11">
      <c r="E1041" s="6"/>
      <c r="F1041" s="6"/>
      <c r="G1041" s="6"/>
      <c r="H1041" s="6"/>
      <c r="I1041" s="6"/>
      <c r="J1041" s="6"/>
      <c r="K1041" s="6"/>
    </row>
    <row r="1042" spans="5:11">
      <c r="E1042" s="6"/>
      <c r="F1042" s="6"/>
      <c r="G1042" s="6"/>
      <c r="H1042" s="6"/>
      <c r="I1042" s="6"/>
      <c r="J1042" s="6"/>
      <c r="K1042" s="6"/>
    </row>
    <row r="1043" spans="5:11">
      <c r="E1043" s="6"/>
      <c r="F1043" s="6"/>
      <c r="G1043" s="6"/>
      <c r="H1043" s="6"/>
      <c r="I1043" s="6"/>
      <c r="J1043" s="6"/>
      <c r="K1043" s="6"/>
    </row>
    <row r="1044" spans="5:11">
      <c r="E1044" s="6"/>
      <c r="F1044" s="6"/>
      <c r="G1044" s="6"/>
      <c r="H1044" s="6"/>
      <c r="I1044" s="6"/>
      <c r="J1044" s="6"/>
      <c r="K1044" s="6"/>
    </row>
    <row r="1045" spans="5:11">
      <c r="E1045" s="6"/>
      <c r="F1045" s="6"/>
      <c r="G1045" s="6"/>
      <c r="H1045" s="6"/>
      <c r="I1045" s="6"/>
      <c r="J1045" s="6"/>
      <c r="K1045" s="6"/>
    </row>
    <row r="1046" spans="5:11">
      <c r="E1046" s="6"/>
      <c r="F1046" s="6"/>
      <c r="G1046" s="6"/>
      <c r="H1046" s="6"/>
      <c r="I1046" s="6"/>
      <c r="J1046" s="6"/>
      <c r="K1046" s="6"/>
    </row>
    <row r="1047" spans="5:11">
      <c r="E1047" s="6"/>
      <c r="F1047" s="6"/>
      <c r="G1047" s="6"/>
      <c r="H1047" s="6"/>
      <c r="I1047" s="6"/>
      <c r="J1047" s="6"/>
      <c r="K1047" s="6"/>
    </row>
    <row r="1048" spans="5:11">
      <c r="E1048" s="6"/>
      <c r="F1048" s="6"/>
      <c r="G1048" s="6"/>
      <c r="H1048" s="6"/>
      <c r="I1048" s="6"/>
      <c r="J1048" s="6"/>
      <c r="K1048" s="6"/>
    </row>
    <row r="1049" spans="5:11">
      <c r="E1049" s="6"/>
      <c r="F1049" s="6"/>
      <c r="G1049" s="6"/>
      <c r="H1049" s="6"/>
      <c r="I1049" s="6"/>
      <c r="J1049" s="6"/>
      <c r="K1049" s="6"/>
    </row>
    <row r="1050" spans="5:11">
      <c r="E1050" s="6"/>
      <c r="F1050" s="6"/>
      <c r="G1050" s="6"/>
      <c r="H1050" s="6"/>
      <c r="I1050" s="6"/>
      <c r="J1050" s="6"/>
      <c r="K1050" s="6"/>
    </row>
    <row r="1051" spans="5:11">
      <c r="E1051" s="6"/>
      <c r="F1051" s="6"/>
      <c r="G1051" s="6"/>
      <c r="H1051" s="6"/>
      <c r="I1051" s="6"/>
      <c r="J1051" s="6"/>
      <c r="K1051" s="6"/>
    </row>
    <row r="1052" spans="5:11">
      <c r="E1052" s="6"/>
      <c r="F1052" s="6"/>
      <c r="G1052" s="6"/>
      <c r="H1052" s="6"/>
      <c r="I1052" s="6"/>
      <c r="J1052" s="6"/>
      <c r="K1052" s="6"/>
    </row>
    <row r="1053" spans="5:11">
      <c r="E1053" s="6"/>
      <c r="F1053" s="6"/>
      <c r="G1053" s="6"/>
      <c r="H1053" s="6"/>
      <c r="I1053" s="6"/>
      <c r="J1053" s="6"/>
      <c r="K1053" s="6"/>
    </row>
    <row r="1054" spans="5:11">
      <c r="E1054" s="6"/>
      <c r="F1054" s="6"/>
      <c r="G1054" s="6"/>
      <c r="H1054" s="6"/>
      <c r="I1054" s="6"/>
      <c r="J1054" s="6"/>
      <c r="K1054" s="6"/>
    </row>
    <row r="1055" spans="5:11">
      <c r="E1055" s="6"/>
      <c r="F1055" s="6"/>
      <c r="G1055" s="6"/>
      <c r="H1055" s="6"/>
      <c r="I1055" s="6"/>
      <c r="J1055" s="6"/>
      <c r="K1055" s="6"/>
    </row>
    <row r="1056" spans="5:11">
      <c r="E1056" s="6"/>
      <c r="F1056" s="6"/>
      <c r="G1056" s="6"/>
      <c r="H1056" s="6"/>
      <c r="I1056" s="6"/>
      <c r="J1056" s="6"/>
      <c r="K1056" s="6"/>
    </row>
    <row r="1057" spans="5:11">
      <c r="E1057" s="6"/>
      <c r="F1057" s="6"/>
      <c r="G1057" s="6"/>
      <c r="H1057" s="6"/>
      <c r="I1057" s="6"/>
      <c r="J1057" s="6"/>
      <c r="K1057" s="6"/>
    </row>
    <row r="1058" spans="5:11">
      <c r="E1058" s="6"/>
      <c r="F1058" s="6"/>
      <c r="G1058" s="6"/>
      <c r="H1058" s="6"/>
      <c r="I1058" s="6"/>
      <c r="J1058" s="6"/>
      <c r="K1058" s="6"/>
    </row>
    <row r="1059" spans="5:11">
      <c r="E1059" s="6"/>
      <c r="F1059" s="6"/>
      <c r="G1059" s="6"/>
      <c r="H1059" s="6"/>
      <c r="I1059" s="6"/>
      <c r="J1059" s="6"/>
      <c r="K1059" s="6"/>
    </row>
    <row r="1060" spans="5:11">
      <c r="E1060" s="6"/>
      <c r="F1060" s="6"/>
      <c r="G1060" s="6"/>
      <c r="H1060" s="6"/>
      <c r="I1060" s="6"/>
      <c r="J1060" s="6"/>
      <c r="K1060" s="6"/>
    </row>
    <row r="1061" spans="5:11">
      <c r="E1061" s="6"/>
      <c r="F1061" s="6"/>
      <c r="G1061" s="6"/>
      <c r="H1061" s="6"/>
      <c r="I1061" s="6"/>
      <c r="J1061" s="6"/>
      <c r="K1061" s="6"/>
    </row>
    <row r="1062" spans="5:11">
      <c r="E1062" s="6"/>
      <c r="F1062" s="6"/>
      <c r="G1062" s="6"/>
      <c r="H1062" s="6"/>
      <c r="I1062" s="6"/>
      <c r="J1062" s="6"/>
      <c r="K1062" s="6"/>
    </row>
    <row r="1063" spans="5:11">
      <c r="E1063" s="6"/>
      <c r="F1063" s="6"/>
      <c r="G1063" s="6"/>
      <c r="H1063" s="6"/>
      <c r="I1063" s="6"/>
      <c r="J1063" s="6"/>
      <c r="K1063" s="6"/>
    </row>
    <row r="1064" spans="5:11">
      <c r="E1064" s="6"/>
      <c r="F1064" s="6"/>
      <c r="G1064" s="6"/>
      <c r="H1064" s="6"/>
      <c r="I1064" s="6"/>
      <c r="J1064" s="6"/>
      <c r="K1064" s="6"/>
    </row>
    <row r="1065" spans="5:11">
      <c r="E1065" s="6"/>
      <c r="F1065" s="6"/>
      <c r="G1065" s="6"/>
      <c r="H1065" s="6"/>
      <c r="I1065" s="6"/>
      <c r="J1065" s="6"/>
      <c r="K1065" s="6"/>
    </row>
    <row r="1066" spans="5:11">
      <c r="E1066" s="6"/>
      <c r="F1066" s="6"/>
      <c r="G1066" s="6"/>
      <c r="H1066" s="6"/>
      <c r="I1066" s="6"/>
      <c r="J1066" s="6"/>
      <c r="K1066" s="6"/>
    </row>
    <row r="1067" spans="5:11">
      <c r="E1067" s="6"/>
      <c r="F1067" s="6"/>
      <c r="G1067" s="6"/>
      <c r="H1067" s="6"/>
      <c r="I1067" s="6"/>
      <c r="J1067" s="6"/>
      <c r="K1067" s="6"/>
    </row>
    <row r="1068" spans="5:11">
      <c r="E1068" s="6"/>
      <c r="F1068" s="6"/>
      <c r="G1068" s="6"/>
      <c r="H1068" s="6"/>
      <c r="I1068" s="6"/>
      <c r="J1068" s="6"/>
      <c r="K1068" s="6"/>
    </row>
    <row r="1069" spans="5:11">
      <c r="E1069" s="6"/>
      <c r="F1069" s="6"/>
      <c r="G1069" s="6"/>
      <c r="H1069" s="6"/>
      <c r="I1069" s="6"/>
      <c r="J1069" s="6"/>
      <c r="K1069" s="6"/>
    </row>
    <row r="1070" spans="5:11">
      <c r="E1070" s="6"/>
      <c r="F1070" s="6"/>
      <c r="G1070" s="6"/>
      <c r="H1070" s="6"/>
      <c r="I1070" s="6"/>
      <c r="J1070" s="6"/>
      <c r="K1070" s="6"/>
    </row>
    <row r="1071" spans="5:11">
      <c r="E1071" s="6"/>
      <c r="F1071" s="6"/>
      <c r="G1071" s="6"/>
      <c r="H1071" s="6"/>
      <c r="I1071" s="6"/>
      <c r="J1071" s="6"/>
      <c r="K1071" s="6"/>
    </row>
    <row r="1072" spans="5:11">
      <c r="E1072" s="6"/>
      <c r="F1072" s="6"/>
      <c r="G1072" s="6"/>
      <c r="H1072" s="6"/>
      <c r="I1072" s="6"/>
      <c r="J1072" s="6"/>
      <c r="K1072" s="6"/>
    </row>
    <row r="1073" spans="5:11">
      <c r="E1073" s="6"/>
      <c r="F1073" s="6"/>
      <c r="G1073" s="6"/>
      <c r="H1073" s="6"/>
      <c r="I1073" s="6"/>
      <c r="J1073" s="6"/>
      <c r="K1073" s="6"/>
    </row>
    <row r="1074" spans="5:11">
      <c r="E1074" s="6"/>
      <c r="F1074" s="6"/>
      <c r="G1074" s="6"/>
      <c r="H1074" s="6"/>
      <c r="I1074" s="6"/>
      <c r="J1074" s="6"/>
      <c r="K1074" s="6"/>
    </row>
    <row r="1075" spans="5:11">
      <c r="E1075" s="6"/>
      <c r="F1075" s="6"/>
      <c r="G1075" s="6"/>
      <c r="H1075" s="6"/>
      <c r="I1075" s="6"/>
      <c r="J1075" s="6"/>
      <c r="K1075" s="6"/>
    </row>
    <row r="1076" spans="5:11">
      <c r="E1076" s="6"/>
      <c r="F1076" s="6"/>
      <c r="G1076" s="6"/>
      <c r="H1076" s="6"/>
      <c r="I1076" s="6"/>
      <c r="J1076" s="6"/>
      <c r="K1076" s="6"/>
    </row>
    <row r="1077" spans="5:11">
      <c r="E1077" s="6"/>
      <c r="F1077" s="6"/>
      <c r="G1077" s="6"/>
      <c r="H1077" s="6"/>
      <c r="I1077" s="6"/>
      <c r="J1077" s="6"/>
      <c r="K1077" s="6"/>
    </row>
    <row r="1078" spans="5:11">
      <c r="E1078" s="6"/>
      <c r="F1078" s="6"/>
      <c r="G1078" s="6"/>
      <c r="H1078" s="6"/>
      <c r="I1078" s="6"/>
      <c r="J1078" s="6"/>
      <c r="K1078" s="6"/>
    </row>
    <row r="1079" spans="5:11">
      <c r="E1079" s="6"/>
      <c r="F1079" s="6"/>
      <c r="G1079" s="6"/>
      <c r="H1079" s="6"/>
      <c r="I1079" s="6"/>
      <c r="J1079" s="6"/>
      <c r="K1079" s="6"/>
    </row>
    <row r="1080" spans="5:11">
      <c r="E1080" s="6"/>
      <c r="F1080" s="6"/>
      <c r="G1080" s="6"/>
      <c r="H1080" s="6"/>
      <c r="I1080" s="6"/>
      <c r="J1080" s="6"/>
      <c r="K1080" s="6"/>
    </row>
    <row r="1081" spans="5:11">
      <c r="E1081" s="6"/>
      <c r="F1081" s="6"/>
      <c r="G1081" s="6"/>
      <c r="H1081" s="6"/>
      <c r="I1081" s="6"/>
      <c r="J1081" s="6"/>
      <c r="K1081" s="6"/>
    </row>
    <row r="1082" spans="5:11">
      <c r="E1082" s="6"/>
      <c r="F1082" s="6"/>
      <c r="G1082" s="6"/>
      <c r="H1082" s="6"/>
      <c r="I1082" s="6"/>
      <c r="J1082" s="6"/>
      <c r="K1082" s="6"/>
    </row>
    <row r="1083" spans="5:11">
      <c r="E1083" s="6"/>
      <c r="F1083" s="6"/>
      <c r="G1083" s="6"/>
      <c r="H1083" s="6"/>
      <c r="I1083" s="6"/>
      <c r="J1083" s="6"/>
      <c r="K1083" s="6"/>
    </row>
    <row r="1084" spans="5:11">
      <c r="E1084" s="6"/>
      <c r="F1084" s="6"/>
      <c r="G1084" s="6"/>
      <c r="H1084" s="6"/>
      <c r="I1084" s="6"/>
      <c r="J1084" s="6"/>
      <c r="K1084" s="6"/>
    </row>
    <row r="1085" spans="5:11">
      <c r="E1085" s="6"/>
      <c r="F1085" s="6"/>
      <c r="G1085" s="6"/>
      <c r="H1085" s="6"/>
      <c r="I1085" s="6"/>
      <c r="J1085" s="6"/>
      <c r="K1085" s="6"/>
    </row>
    <row r="1086" spans="5:11">
      <c r="E1086" s="6"/>
      <c r="F1086" s="6"/>
      <c r="G1086" s="6"/>
      <c r="H1086" s="6"/>
      <c r="I1086" s="6"/>
      <c r="J1086" s="6"/>
      <c r="K1086" s="6"/>
    </row>
    <row r="1087" spans="5:11">
      <c r="E1087" s="6"/>
      <c r="F1087" s="6"/>
      <c r="G1087" s="6"/>
      <c r="H1087" s="6"/>
      <c r="I1087" s="6"/>
      <c r="J1087" s="6"/>
      <c r="K1087" s="6"/>
    </row>
    <row r="1088" spans="5:11">
      <c r="E1088" s="6"/>
      <c r="F1088" s="6"/>
      <c r="G1088" s="6"/>
      <c r="H1088" s="6"/>
      <c r="I1088" s="6"/>
      <c r="J1088" s="6"/>
      <c r="K1088" s="6"/>
    </row>
    <row r="1089" spans="5:11">
      <c r="E1089" s="6"/>
      <c r="F1089" s="6"/>
      <c r="G1089" s="6"/>
      <c r="H1089" s="6"/>
      <c r="I1089" s="6"/>
      <c r="J1089" s="6"/>
      <c r="K1089" s="6"/>
    </row>
    <row r="1090" spans="5:11">
      <c r="E1090" s="6"/>
      <c r="F1090" s="6"/>
      <c r="G1090" s="6"/>
      <c r="H1090" s="6"/>
      <c r="I1090" s="6"/>
      <c r="J1090" s="6"/>
      <c r="K1090" s="6"/>
    </row>
    <row r="1091" spans="5:11">
      <c r="E1091" s="6"/>
      <c r="F1091" s="6"/>
      <c r="G1091" s="6"/>
      <c r="H1091" s="6"/>
      <c r="I1091" s="6"/>
      <c r="J1091" s="6"/>
      <c r="K1091" s="6"/>
    </row>
    <row r="1092" spans="5:11">
      <c r="E1092" s="6"/>
      <c r="F1092" s="6"/>
      <c r="G1092" s="6"/>
      <c r="H1092" s="6"/>
      <c r="I1092" s="6"/>
      <c r="J1092" s="6"/>
      <c r="K1092" s="6"/>
    </row>
    <row r="1093" spans="5:11">
      <c r="E1093" s="6"/>
      <c r="F1093" s="6"/>
      <c r="G1093" s="6"/>
      <c r="H1093" s="6"/>
      <c r="I1093" s="6"/>
      <c r="J1093" s="6"/>
      <c r="K1093" s="6"/>
    </row>
    <row r="1094" spans="5:11">
      <c r="E1094" s="6"/>
      <c r="F1094" s="6"/>
      <c r="G1094" s="6"/>
      <c r="H1094" s="6"/>
      <c r="I1094" s="6"/>
      <c r="J1094" s="6"/>
      <c r="K1094" s="6"/>
    </row>
    <row r="1095" spans="5:11">
      <c r="E1095" s="6"/>
      <c r="F1095" s="6"/>
      <c r="G1095" s="6"/>
      <c r="H1095" s="6"/>
      <c r="I1095" s="6"/>
      <c r="J1095" s="6"/>
      <c r="K1095" s="6"/>
    </row>
    <row r="1096" spans="5:11">
      <c r="E1096" s="6"/>
      <c r="F1096" s="6"/>
      <c r="G1096" s="6"/>
      <c r="H1096" s="6"/>
      <c r="I1096" s="6"/>
      <c r="J1096" s="6"/>
      <c r="K1096" s="6"/>
    </row>
    <row r="1097" spans="5:11">
      <c r="E1097" s="6"/>
      <c r="F1097" s="6"/>
      <c r="G1097" s="6"/>
      <c r="H1097" s="6"/>
      <c r="I1097" s="6"/>
      <c r="J1097" s="6"/>
      <c r="K1097" s="6"/>
    </row>
    <row r="1098" spans="5:11">
      <c r="E1098" s="6"/>
      <c r="F1098" s="6"/>
      <c r="G1098" s="6"/>
      <c r="H1098" s="6"/>
      <c r="I1098" s="6"/>
      <c r="J1098" s="6"/>
      <c r="K1098" s="6"/>
    </row>
    <row r="1099" spans="5:11">
      <c r="E1099" s="6"/>
      <c r="F1099" s="6"/>
      <c r="G1099" s="6"/>
      <c r="H1099" s="6"/>
      <c r="I1099" s="6"/>
      <c r="J1099" s="6"/>
      <c r="K1099" s="6"/>
    </row>
    <row r="1100" spans="5:11">
      <c r="E1100" s="6"/>
      <c r="F1100" s="6"/>
      <c r="G1100" s="6"/>
      <c r="H1100" s="6"/>
      <c r="I1100" s="6"/>
      <c r="J1100" s="6"/>
      <c r="K1100" s="6"/>
    </row>
    <row r="1101" spans="5:11">
      <c r="E1101" s="6"/>
      <c r="F1101" s="6"/>
      <c r="G1101" s="6"/>
      <c r="H1101" s="6"/>
      <c r="I1101" s="6"/>
      <c r="J1101" s="6"/>
      <c r="K1101" s="6"/>
    </row>
    <row r="1102" spans="5:11">
      <c r="E1102" s="6"/>
      <c r="F1102" s="6"/>
      <c r="G1102" s="6"/>
      <c r="H1102" s="6"/>
      <c r="I1102" s="6"/>
      <c r="J1102" s="6"/>
      <c r="K1102" s="6"/>
    </row>
    <row r="1103" spans="5:11">
      <c r="E1103" s="6"/>
      <c r="F1103" s="6"/>
      <c r="G1103" s="6"/>
      <c r="H1103" s="6"/>
      <c r="I1103" s="6"/>
      <c r="J1103" s="6"/>
      <c r="K1103" s="6"/>
    </row>
    <row r="1104" spans="5:11">
      <c r="E1104" s="6"/>
      <c r="F1104" s="6"/>
      <c r="G1104" s="6"/>
      <c r="H1104" s="6"/>
      <c r="I1104" s="6"/>
      <c r="J1104" s="6"/>
      <c r="K1104" s="6"/>
    </row>
    <row r="1105" spans="5:11">
      <c r="E1105" s="6"/>
      <c r="F1105" s="6"/>
      <c r="G1105" s="6"/>
      <c r="H1105" s="6"/>
      <c r="I1105" s="6"/>
      <c r="J1105" s="6"/>
      <c r="K1105" s="6"/>
    </row>
    <row r="1106" spans="5:11">
      <c r="E1106" s="6"/>
      <c r="F1106" s="6"/>
      <c r="G1106" s="6"/>
      <c r="H1106" s="6"/>
      <c r="I1106" s="6"/>
      <c r="J1106" s="6"/>
      <c r="K1106" s="6"/>
    </row>
    <row r="1107" spans="5:11">
      <c r="E1107" s="6"/>
      <c r="F1107" s="6"/>
      <c r="G1107" s="6"/>
      <c r="H1107" s="6"/>
      <c r="I1107" s="6"/>
      <c r="J1107" s="6"/>
      <c r="K1107" s="6"/>
    </row>
    <row r="1108" spans="5:11">
      <c r="E1108" s="6"/>
      <c r="F1108" s="6"/>
      <c r="G1108" s="6"/>
      <c r="H1108" s="6"/>
      <c r="I1108" s="6"/>
      <c r="J1108" s="6"/>
      <c r="K1108" s="6"/>
    </row>
    <row r="1109" spans="5:11">
      <c r="E1109" s="6"/>
      <c r="F1109" s="6"/>
      <c r="G1109" s="6"/>
      <c r="H1109" s="6"/>
      <c r="I1109" s="6"/>
      <c r="J1109" s="6"/>
      <c r="K1109" s="6"/>
    </row>
    <row r="1110" spans="5:11">
      <c r="E1110" s="6"/>
      <c r="F1110" s="6"/>
      <c r="G1110" s="6"/>
      <c r="H1110" s="6"/>
      <c r="I1110" s="6"/>
      <c r="J1110" s="6"/>
      <c r="K1110" s="6"/>
    </row>
    <row r="1111" spans="5:11">
      <c r="E1111" s="6"/>
      <c r="F1111" s="6"/>
      <c r="G1111" s="6"/>
      <c r="H1111" s="6"/>
      <c r="I1111" s="6"/>
      <c r="J1111" s="6"/>
      <c r="K1111" s="6"/>
    </row>
    <row r="1112" spans="5:11">
      <c r="E1112" s="6"/>
      <c r="F1112" s="6"/>
      <c r="G1112" s="6"/>
      <c r="H1112" s="6"/>
      <c r="I1112" s="6"/>
      <c r="J1112" s="6"/>
      <c r="K1112" s="6"/>
    </row>
    <row r="1113" spans="5:11">
      <c r="E1113" s="6"/>
      <c r="F1113" s="6"/>
      <c r="G1113" s="6"/>
      <c r="H1113" s="6"/>
      <c r="I1113" s="6"/>
      <c r="J1113" s="6"/>
      <c r="K1113" s="6"/>
    </row>
    <row r="1114" spans="5:11">
      <c r="E1114" s="6"/>
      <c r="F1114" s="6"/>
      <c r="G1114" s="6"/>
      <c r="H1114" s="6"/>
      <c r="I1114" s="6"/>
      <c r="J1114" s="6"/>
      <c r="K1114" s="6"/>
    </row>
    <row r="1115" spans="5:11">
      <c r="E1115" s="6"/>
      <c r="F1115" s="6"/>
      <c r="G1115" s="6"/>
      <c r="H1115" s="6"/>
      <c r="I1115" s="6"/>
      <c r="J1115" s="6"/>
      <c r="K1115" s="6"/>
    </row>
    <row r="1116" spans="5:11">
      <c r="E1116" s="6"/>
      <c r="F1116" s="6"/>
      <c r="G1116" s="6"/>
      <c r="H1116" s="6"/>
      <c r="I1116" s="6"/>
      <c r="J1116" s="6"/>
      <c r="K1116" s="6"/>
    </row>
    <row r="1117" spans="5:11">
      <c r="E1117" s="6"/>
      <c r="F1117" s="6"/>
      <c r="G1117" s="6"/>
      <c r="H1117" s="6"/>
      <c r="I1117" s="6"/>
      <c r="J1117" s="6"/>
      <c r="K1117" s="6"/>
    </row>
    <row r="1118" spans="5:11">
      <c r="E1118" s="6"/>
      <c r="F1118" s="6"/>
      <c r="G1118" s="6"/>
      <c r="H1118" s="6"/>
      <c r="I1118" s="6"/>
      <c r="J1118" s="6"/>
      <c r="K1118" s="6"/>
    </row>
    <row r="1119" spans="5:11">
      <c r="E1119" s="6"/>
      <c r="F1119" s="6"/>
      <c r="G1119" s="6"/>
      <c r="H1119" s="6"/>
      <c r="I1119" s="6"/>
      <c r="J1119" s="6"/>
      <c r="K1119" s="6"/>
    </row>
    <row r="1120" spans="5:11">
      <c r="E1120" s="6"/>
      <c r="F1120" s="6"/>
      <c r="G1120" s="6"/>
      <c r="H1120" s="6"/>
      <c r="I1120" s="6"/>
      <c r="J1120" s="6"/>
      <c r="K1120" s="6"/>
    </row>
    <row r="1121" spans="5:11">
      <c r="E1121" s="6"/>
      <c r="F1121" s="6"/>
      <c r="G1121" s="6"/>
      <c r="H1121" s="6"/>
      <c r="I1121" s="6"/>
      <c r="J1121" s="6"/>
      <c r="K1121" s="6"/>
    </row>
    <row r="1122" spans="5:11">
      <c r="E1122" s="6"/>
      <c r="F1122" s="6"/>
      <c r="G1122" s="6"/>
      <c r="H1122" s="6"/>
      <c r="I1122" s="6"/>
      <c r="J1122" s="6"/>
      <c r="K1122" s="6"/>
    </row>
    <row r="1123" spans="5:11">
      <c r="E1123" s="6"/>
      <c r="F1123" s="6"/>
      <c r="G1123" s="6"/>
      <c r="H1123" s="6"/>
      <c r="I1123" s="6"/>
      <c r="J1123" s="6"/>
      <c r="K1123" s="6"/>
    </row>
    <row r="1124" spans="5:11">
      <c r="E1124" s="6"/>
      <c r="F1124" s="6"/>
      <c r="G1124" s="6"/>
      <c r="H1124" s="6"/>
      <c r="I1124" s="6"/>
      <c r="J1124" s="6"/>
      <c r="K1124" s="6"/>
    </row>
    <row r="1125" spans="5:11">
      <c r="E1125" s="6"/>
      <c r="F1125" s="6"/>
      <c r="G1125" s="6"/>
      <c r="H1125" s="6"/>
      <c r="I1125" s="6"/>
      <c r="J1125" s="6"/>
      <c r="K1125" s="6"/>
    </row>
    <row r="1126" spans="5:11">
      <c r="E1126" s="6"/>
      <c r="F1126" s="6"/>
      <c r="G1126" s="6"/>
      <c r="H1126" s="6"/>
      <c r="I1126" s="6"/>
      <c r="J1126" s="6"/>
      <c r="K1126" s="6"/>
    </row>
    <row r="1127" spans="5:11">
      <c r="E1127" s="6"/>
      <c r="F1127" s="6"/>
      <c r="G1127" s="6"/>
      <c r="H1127" s="6"/>
      <c r="I1127" s="6"/>
      <c r="J1127" s="6"/>
      <c r="K1127" s="6"/>
    </row>
    <row r="1128" spans="5:11">
      <c r="E1128" s="6"/>
      <c r="F1128" s="6"/>
      <c r="G1128" s="6"/>
      <c r="H1128" s="6"/>
      <c r="I1128" s="6"/>
      <c r="J1128" s="6"/>
      <c r="K1128" s="6"/>
    </row>
    <row r="1129" spans="5:11">
      <c r="E1129" s="6"/>
      <c r="F1129" s="6"/>
      <c r="G1129" s="6"/>
      <c r="H1129" s="6"/>
      <c r="I1129" s="6"/>
      <c r="J1129" s="6"/>
      <c r="K1129" s="6"/>
    </row>
    <row r="1130" spans="5:11">
      <c r="E1130" s="6"/>
      <c r="F1130" s="6"/>
      <c r="G1130" s="6"/>
      <c r="H1130" s="6"/>
      <c r="I1130" s="6"/>
      <c r="J1130" s="6"/>
      <c r="K1130" s="6"/>
    </row>
    <row r="1131" spans="5:11">
      <c r="E1131" s="6"/>
      <c r="F1131" s="6"/>
      <c r="G1131" s="6"/>
      <c r="H1131" s="6"/>
      <c r="I1131" s="6"/>
      <c r="J1131" s="6"/>
      <c r="K1131" s="6"/>
    </row>
    <row r="1132" spans="5:11">
      <c r="E1132" s="6"/>
      <c r="F1132" s="6"/>
      <c r="G1132" s="6"/>
      <c r="H1132" s="6"/>
      <c r="I1132" s="6"/>
      <c r="J1132" s="6"/>
      <c r="K1132" s="6"/>
    </row>
    <row r="1133" spans="5:11">
      <c r="E1133" s="6"/>
      <c r="F1133" s="6"/>
      <c r="G1133" s="6"/>
      <c r="H1133" s="6"/>
      <c r="I1133" s="6"/>
      <c r="J1133" s="6"/>
      <c r="K1133" s="6"/>
    </row>
    <row r="1134" spans="5:11">
      <c r="E1134" s="6"/>
      <c r="F1134" s="6"/>
      <c r="G1134" s="6"/>
      <c r="H1134" s="6"/>
      <c r="I1134" s="6"/>
      <c r="J1134" s="6"/>
      <c r="K1134" s="6"/>
    </row>
    <row r="1135" spans="5:11">
      <c r="E1135" s="6"/>
      <c r="F1135" s="6"/>
      <c r="G1135" s="6"/>
      <c r="H1135" s="6"/>
      <c r="I1135" s="6"/>
      <c r="J1135" s="6"/>
      <c r="K1135" s="6"/>
    </row>
    <row r="1136" spans="5:11">
      <c r="E1136" s="6"/>
      <c r="F1136" s="6"/>
      <c r="G1136" s="6"/>
      <c r="H1136" s="6"/>
      <c r="I1136" s="6"/>
      <c r="J1136" s="6"/>
      <c r="K1136" s="6"/>
    </row>
    <row r="1137" spans="5:11">
      <c r="E1137" s="6"/>
      <c r="F1137" s="6"/>
      <c r="G1137" s="6"/>
      <c r="H1137" s="6"/>
      <c r="I1137" s="6"/>
      <c r="J1137" s="6"/>
      <c r="K1137" s="6"/>
    </row>
    <row r="1138" spans="5:11">
      <c r="E1138" s="6"/>
      <c r="F1138" s="6"/>
      <c r="G1138" s="6"/>
      <c r="H1138" s="6"/>
      <c r="I1138" s="6"/>
      <c r="J1138" s="6"/>
      <c r="K1138" s="6"/>
    </row>
    <row r="1139" spans="5:11">
      <c r="E1139" s="6"/>
      <c r="F1139" s="6"/>
      <c r="G1139" s="6"/>
      <c r="H1139" s="6"/>
      <c r="I1139" s="6"/>
      <c r="J1139" s="6"/>
      <c r="K1139" s="6"/>
    </row>
    <row r="1140" spans="5:11">
      <c r="E1140" s="6"/>
      <c r="F1140" s="6"/>
      <c r="G1140" s="6"/>
      <c r="H1140" s="6"/>
      <c r="I1140" s="6"/>
      <c r="J1140" s="6"/>
      <c r="K1140" s="6"/>
    </row>
    <row r="1141" spans="5:11">
      <c r="E1141" s="6"/>
      <c r="F1141" s="6"/>
      <c r="G1141" s="6"/>
      <c r="H1141" s="6"/>
      <c r="I1141" s="6"/>
      <c r="J1141" s="6"/>
      <c r="K1141" s="6"/>
    </row>
    <row r="1142" spans="5:11">
      <c r="E1142" s="6"/>
      <c r="F1142" s="6"/>
      <c r="G1142" s="6"/>
      <c r="H1142" s="6"/>
      <c r="I1142" s="6"/>
      <c r="J1142" s="6"/>
      <c r="K1142" s="6"/>
    </row>
    <row r="1143" spans="5:11">
      <c r="E1143" s="6"/>
      <c r="F1143" s="6"/>
      <c r="G1143" s="6"/>
      <c r="H1143" s="6"/>
      <c r="I1143" s="6"/>
      <c r="J1143" s="6"/>
      <c r="K1143" s="6"/>
    </row>
    <row r="1144" spans="5:11">
      <c r="E1144" s="6"/>
      <c r="F1144" s="6"/>
      <c r="G1144" s="6"/>
      <c r="H1144" s="6"/>
      <c r="I1144" s="6"/>
      <c r="J1144" s="6"/>
      <c r="K1144" s="6"/>
    </row>
    <row r="1145" spans="5:11">
      <c r="E1145" s="6"/>
      <c r="F1145" s="6"/>
      <c r="G1145" s="6"/>
      <c r="H1145" s="6"/>
      <c r="I1145" s="6"/>
      <c r="J1145" s="6"/>
      <c r="K1145" s="6"/>
    </row>
    <row r="1146" spans="5:11">
      <c r="E1146" s="6"/>
      <c r="F1146" s="6"/>
      <c r="G1146" s="6"/>
      <c r="H1146" s="6"/>
      <c r="I1146" s="6"/>
      <c r="J1146" s="6"/>
      <c r="K1146" s="6"/>
    </row>
    <row r="1147" spans="5:11">
      <c r="E1147" s="6"/>
      <c r="F1147" s="6"/>
      <c r="G1147" s="6"/>
      <c r="H1147" s="6"/>
      <c r="I1147" s="6"/>
      <c r="J1147" s="6"/>
      <c r="K1147" s="6"/>
    </row>
    <row r="1148" spans="5:11">
      <c r="E1148" s="6"/>
      <c r="F1148" s="6"/>
      <c r="G1148" s="6"/>
      <c r="H1148" s="6"/>
      <c r="I1148" s="6"/>
      <c r="J1148" s="6"/>
      <c r="K1148" s="6"/>
    </row>
    <row r="1149" spans="5:11">
      <c r="E1149" s="6"/>
      <c r="F1149" s="6"/>
      <c r="G1149" s="6"/>
      <c r="H1149" s="6"/>
      <c r="I1149" s="6"/>
      <c r="J1149" s="6"/>
      <c r="K1149" s="6"/>
    </row>
    <row r="1150" spans="5:11">
      <c r="E1150" s="6"/>
      <c r="F1150" s="6"/>
      <c r="G1150" s="6"/>
      <c r="H1150" s="6"/>
      <c r="I1150" s="6"/>
      <c r="J1150" s="6"/>
      <c r="K1150" s="6"/>
    </row>
    <row r="1151" spans="5:11">
      <c r="E1151" s="6"/>
      <c r="F1151" s="6"/>
      <c r="G1151" s="6"/>
      <c r="H1151" s="6"/>
      <c r="I1151" s="6"/>
      <c r="J1151" s="6"/>
      <c r="K1151" s="6"/>
    </row>
    <row r="1152" spans="5:11">
      <c r="E1152" s="6"/>
      <c r="F1152" s="6"/>
      <c r="G1152" s="6"/>
      <c r="H1152" s="6"/>
      <c r="I1152" s="6"/>
      <c r="J1152" s="6"/>
      <c r="K1152" s="6"/>
    </row>
    <row r="1153" spans="5:11">
      <c r="E1153" s="6"/>
      <c r="F1153" s="6"/>
      <c r="G1153" s="6"/>
      <c r="H1153" s="6"/>
      <c r="I1153" s="6"/>
      <c r="J1153" s="6"/>
      <c r="K1153" s="6"/>
    </row>
    <row r="1154" spans="5:11">
      <c r="E1154" s="6"/>
      <c r="F1154" s="6"/>
      <c r="G1154" s="6"/>
      <c r="H1154" s="6"/>
      <c r="I1154" s="6"/>
      <c r="J1154" s="6"/>
      <c r="K1154" s="6"/>
    </row>
    <row r="1155" spans="5:11">
      <c r="E1155" s="6"/>
      <c r="F1155" s="6"/>
      <c r="G1155" s="6"/>
      <c r="H1155" s="6"/>
      <c r="I1155" s="6"/>
      <c r="J1155" s="6"/>
      <c r="K1155" s="6"/>
    </row>
    <row r="1156" spans="5:11">
      <c r="E1156" s="6"/>
      <c r="F1156" s="6"/>
      <c r="G1156" s="6"/>
      <c r="H1156" s="6"/>
      <c r="I1156" s="6"/>
      <c r="J1156" s="6"/>
      <c r="K1156" s="6"/>
    </row>
    <row r="1157" spans="5:11">
      <c r="E1157" s="6"/>
      <c r="F1157" s="6"/>
      <c r="G1157" s="6"/>
      <c r="H1157" s="6"/>
      <c r="I1157" s="6"/>
      <c r="J1157" s="6"/>
      <c r="K1157" s="6"/>
    </row>
    <row r="1158" spans="5:11">
      <c r="E1158" s="6"/>
      <c r="F1158" s="6"/>
      <c r="G1158" s="6"/>
      <c r="H1158" s="6"/>
      <c r="I1158" s="6"/>
      <c r="J1158" s="6"/>
      <c r="K1158" s="6"/>
    </row>
    <row r="1159" spans="5:11">
      <c r="E1159" s="6"/>
      <c r="F1159" s="6"/>
      <c r="G1159" s="6"/>
      <c r="H1159" s="6"/>
      <c r="I1159" s="6"/>
      <c r="J1159" s="6"/>
      <c r="K1159" s="6"/>
    </row>
    <row r="1160" spans="5:11">
      <c r="E1160" s="6"/>
      <c r="F1160" s="6"/>
      <c r="G1160" s="6"/>
      <c r="H1160" s="6"/>
      <c r="I1160" s="6"/>
      <c r="J1160" s="6"/>
      <c r="K1160" s="6"/>
    </row>
    <row r="1161" spans="5:11">
      <c r="E1161" s="6"/>
      <c r="F1161" s="6"/>
      <c r="G1161" s="6"/>
      <c r="H1161" s="6"/>
      <c r="I1161" s="6"/>
      <c r="J1161" s="6"/>
      <c r="K1161" s="6"/>
    </row>
    <row r="1162" spans="5:11">
      <c r="E1162" s="6"/>
      <c r="F1162" s="6"/>
      <c r="G1162" s="6"/>
      <c r="H1162" s="6"/>
      <c r="I1162" s="6"/>
      <c r="J1162" s="6"/>
      <c r="K1162" s="6"/>
    </row>
    <row r="1163" spans="5:11">
      <c r="E1163" s="6"/>
      <c r="F1163" s="6"/>
      <c r="G1163" s="6"/>
      <c r="H1163" s="6"/>
      <c r="I1163" s="6"/>
      <c r="J1163" s="6"/>
      <c r="K1163" s="6"/>
    </row>
    <row r="1164" spans="5:11">
      <c r="E1164" s="6"/>
      <c r="F1164" s="6"/>
      <c r="G1164" s="6"/>
      <c r="H1164" s="6"/>
      <c r="I1164" s="6"/>
      <c r="J1164" s="6"/>
      <c r="K1164" s="6"/>
    </row>
    <row r="1165" spans="5:11">
      <c r="E1165" s="6"/>
      <c r="F1165" s="6"/>
      <c r="G1165" s="6"/>
      <c r="H1165" s="6"/>
      <c r="I1165" s="6"/>
      <c r="J1165" s="6"/>
      <c r="K1165" s="6"/>
    </row>
    <row r="1166" spans="5:11">
      <c r="E1166" s="6"/>
      <c r="F1166" s="6"/>
      <c r="G1166" s="6"/>
      <c r="H1166" s="6"/>
      <c r="I1166" s="6"/>
      <c r="J1166" s="6"/>
      <c r="K1166" s="6"/>
    </row>
    <row r="1167" spans="5:11">
      <c r="E1167" s="6"/>
      <c r="F1167" s="6"/>
      <c r="G1167" s="6"/>
      <c r="H1167" s="6"/>
      <c r="I1167" s="6"/>
      <c r="J1167" s="6"/>
      <c r="K1167" s="6"/>
    </row>
    <row r="1168" spans="5:11">
      <c r="E1168" s="6"/>
      <c r="F1168" s="6"/>
      <c r="G1168" s="6"/>
      <c r="H1168" s="6"/>
      <c r="I1168" s="6"/>
      <c r="J1168" s="6"/>
      <c r="K1168" s="6"/>
    </row>
    <row r="1169" spans="5:11">
      <c r="E1169" s="6"/>
      <c r="F1169" s="6"/>
      <c r="G1169" s="6"/>
      <c r="H1169" s="6"/>
      <c r="I1169" s="6"/>
      <c r="J1169" s="6"/>
      <c r="K1169" s="6"/>
    </row>
    <row r="1170" spans="5:11">
      <c r="E1170" s="6"/>
      <c r="F1170" s="6"/>
      <c r="G1170" s="6"/>
      <c r="H1170" s="6"/>
      <c r="I1170" s="6"/>
      <c r="J1170" s="6"/>
      <c r="K1170" s="6"/>
    </row>
    <row r="1171" spans="5:11">
      <c r="E1171" s="6"/>
      <c r="F1171" s="6"/>
      <c r="G1171" s="6"/>
      <c r="H1171" s="6"/>
      <c r="I1171" s="6"/>
      <c r="J1171" s="6"/>
      <c r="K1171" s="6"/>
    </row>
    <row r="1172" spans="5:11">
      <c r="E1172" s="6"/>
      <c r="F1172" s="6"/>
      <c r="G1172" s="6"/>
      <c r="H1172" s="6"/>
      <c r="I1172" s="6"/>
      <c r="J1172" s="6"/>
      <c r="K1172" s="6"/>
    </row>
    <row r="1173" spans="5:11">
      <c r="E1173" s="6"/>
      <c r="F1173" s="6"/>
      <c r="G1173" s="6"/>
      <c r="H1173" s="6"/>
      <c r="I1173" s="6"/>
      <c r="J1173" s="6"/>
      <c r="K1173" s="6"/>
    </row>
    <row r="1174" spans="5:11">
      <c r="E1174" s="6"/>
      <c r="F1174" s="6"/>
      <c r="G1174" s="6"/>
      <c r="H1174" s="6"/>
      <c r="I1174" s="6"/>
      <c r="J1174" s="6"/>
      <c r="K1174" s="6"/>
    </row>
    <row r="1175" spans="5:11">
      <c r="E1175" s="6"/>
      <c r="F1175" s="6"/>
      <c r="G1175" s="6"/>
      <c r="H1175" s="6"/>
      <c r="I1175" s="6"/>
      <c r="J1175" s="6"/>
      <c r="K1175" s="6"/>
    </row>
    <row r="1176" spans="5:11">
      <c r="E1176" s="6"/>
      <c r="F1176" s="6"/>
      <c r="G1176" s="6"/>
      <c r="H1176" s="6"/>
      <c r="I1176" s="6"/>
      <c r="J1176" s="6"/>
      <c r="K1176" s="6"/>
    </row>
    <row r="1177" spans="5:11">
      <c r="E1177" s="6"/>
      <c r="F1177" s="6"/>
      <c r="G1177" s="6"/>
      <c r="H1177" s="6"/>
      <c r="I1177" s="6"/>
      <c r="J1177" s="6"/>
      <c r="K1177" s="6"/>
    </row>
    <row r="1178" spans="5:11">
      <c r="E1178" s="6"/>
      <c r="F1178" s="6"/>
      <c r="G1178" s="6"/>
      <c r="H1178" s="6"/>
      <c r="I1178" s="6"/>
      <c r="J1178" s="6"/>
      <c r="K1178" s="6"/>
    </row>
    <row r="1179" spans="5:11">
      <c r="E1179" s="6"/>
      <c r="F1179" s="6"/>
      <c r="G1179" s="6"/>
      <c r="H1179" s="6"/>
      <c r="I1179" s="6"/>
      <c r="J1179" s="6"/>
      <c r="K1179" s="6"/>
    </row>
    <row r="1180" spans="5:11">
      <c r="E1180" s="6"/>
      <c r="F1180" s="6"/>
      <c r="G1180" s="6"/>
      <c r="H1180" s="6"/>
      <c r="I1180" s="6"/>
      <c r="J1180" s="6"/>
      <c r="K1180" s="6"/>
    </row>
    <row r="1181" spans="5:11">
      <c r="E1181" s="6"/>
      <c r="F1181" s="6"/>
      <c r="G1181" s="6"/>
      <c r="H1181" s="6"/>
      <c r="I1181" s="6"/>
      <c r="J1181" s="6"/>
      <c r="K1181" s="6"/>
    </row>
    <row r="1182" spans="5:11">
      <c r="E1182" s="6"/>
      <c r="F1182" s="6"/>
      <c r="G1182" s="6"/>
      <c r="H1182" s="6"/>
      <c r="I1182" s="6"/>
      <c r="J1182" s="6"/>
      <c r="K1182" s="6"/>
    </row>
    <row r="1183" spans="5:11">
      <c r="E1183" s="6"/>
      <c r="F1183" s="6"/>
      <c r="G1183" s="6"/>
      <c r="H1183" s="6"/>
      <c r="I1183" s="6"/>
      <c r="J1183" s="6"/>
      <c r="K1183" s="6"/>
    </row>
    <row r="1184" spans="5:11">
      <c r="E1184" s="6"/>
      <c r="F1184" s="6"/>
      <c r="G1184" s="6"/>
      <c r="H1184" s="6"/>
      <c r="I1184" s="6"/>
      <c r="J1184" s="6"/>
      <c r="K1184" s="6"/>
    </row>
    <row r="1185" spans="5:11">
      <c r="E1185" s="6"/>
      <c r="F1185" s="6"/>
      <c r="G1185" s="6"/>
      <c r="H1185" s="6"/>
      <c r="I1185" s="6"/>
      <c r="J1185" s="6"/>
      <c r="K1185" s="6"/>
    </row>
    <row r="1186" spans="5:11">
      <c r="E1186" s="6"/>
      <c r="F1186" s="6"/>
      <c r="G1186" s="6"/>
      <c r="H1186" s="6"/>
      <c r="I1186" s="6"/>
      <c r="J1186" s="6"/>
      <c r="K1186" s="6"/>
    </row>
    <row r="1187" spans="5:11">
      <c r="E1187" s="6"/>
      <c r="F1187" s="6"/>
      <c r="G1187" s="6"/>
      <c r="H1187" s="6"/>
      <c r="I1187" s="6"/>
      <c r="J1187" s="6"/>
      <c r="K1187" s="6"/>
    </row>
    <row r="1188" spans="5:11">
      <c r="E1188" s="6"/>
      <c r="F1188" s="6"/>
      <c r="G1188" s="6"/>
      <c r="H1188" s="6"/>
      <c r="I1188" s="6"/>
      <c r="J1188" s="6"/>
      <c r="K1188" s="6"/>
    </row>
    <row r="1189" spans="5:11">
      <c r="E1189" s="6"/>
      <c r="F1189" s="6"/>
      <c r="G1189" s="6"/>
      <c r="H1189" s="6"/>
      <c r="I1189" s="6"/>
      <c r="J1189" s="6"/>
      <c r="K1189" s="6"/>
    </row>
    <row r="1190" spans="5:11">
      <c r="E1190" s="6"/>
      <c r="F1190" s="6"/>
      <c r="G1190" s="6"/>
      <c r="H1190" s="6"/>
      <c r="I1190" s="6"/>
      <c r="J1190" s="6"/>
      <c r="K1190" s="6"/>
    </row>
    <row r="1191" spans="5:11">
      <c r="E1191" s="6"/>
      <c r="F1191" s="6"/>
      <c r="G1191" s="6"/>
      <c r="H1191" s="6"/>
      <c r="I1191" s="6"/>
      <c r="J1191" s="6"/>
      <c r="K1191" s="6"/>
    </row>
    <row r="1192" spans="5:11">
      <c r="E1192" s="6"/>
      <c r="F1192" s="6"/>
      <c r="G1192" s="6"/>
      <c r="H1192" s="6"/>
      <c r="I1192" s="6"/>
      <c r="J1192" s="6"/>
      <c r="K1192" s="6"/>
    </row>
    <row r="1193" spans="5:11">
      <c r="E1193" s="6"/>
      <c r="F1193" s="6"/>
      <c r="G1193" s="6"/>
      <c r="H1193" s="6"/>
      <c r="I1193" s="6"/>
      <c r="J1193" s="6"/>
      <c r="K1193" s="6"/>
    </row>
    <row r="1194" spans="5:11">
      <c r="E1194" s="6"/>
      <c r="F1194" s="6"/>
      <c r="G1194" s="6"/>
      <c r="H1194" s="6"/>
      <c r="I1194" s="6"/>
      <c r="J1194" s="6"/>
      <c r="K1194" s="6"/>
    </row>
    <row r="1195" spans="5:11">
      <c r="E1195" s="6"/>
      <c r="F1195" s="6"/>
      <c r="G1195" s="6"/>
      <c r="H1195" s="6"/>
      <c r="I1195" s="6"/>
      <c r="J1195" s="6"/>
      <c r="K1195" s="6"/>
    </row>
    <row r="1196" spans="5:11">
      <c r="E1196" s="6"/>
      <c r="F1196" s="6"/>
      <c r="G1196" s="6"/>
      <c r="H1196" s="6"/>
      <c r="I1196" s="6"/>
      <c r="J1196" s="6"/>
      <c r="K1196" s="6"/>
    </row>
    <row r="1197" spans="5:11">
      <c r="E1197" s="6"/>
      <c r="F1197" s="6"/>
      <c r="G1197" s="6"/>
      <c r="H1197" s="6"/>
      <c r="I1197" s="6"/>
      <c r="J1197" s="6"/>
      <c r="K1197" s="6"/>
    </row>
    <row r="1198" spans="5:11">
      <c r="E1198" s="6"/>
      <c r="F1198" s="6"/>
      <c r="G1198" s="6"/>
      <c r="H1198" s="6"/>
      <c r="I1198" s="6"/>
      <c r="J1198" s="6"/>
      <c r="K1198" s="6"/>
    </row>
    <row r="1199" spans="5:11">
      <c r="E1199" s="6"/>
      <c r="F1199" s="6"/>
      <c r="G1199" s="6"/>
      <c r="H1199" s="6"/>
      <c r="I1199" s="6"/>
      <c r="J1199" s="6"/>
      <c r="K1199" s="6"/>
    </row>
    <row r="1200" spans="5:11">
      <c r="E1200" s="6"/>
      <c r="F1200" s="6"/>
      <c r="G1200" s="6"/>
      <c r="H1200" s="6"/>
      <c r="I1200" s="6"/>
      <c r="J1200" s="6"/>
      <c r="K1200" s="6"/>
    </row>
    <row r="1201" spans="5:11">
      <c r="E1201" s="6"/>
      <c r="F1201" s="6"/>
      <c r="G1201" s="6"/>
      <c r="H1201" s="6"/>
      <c r="I1201" s="6"/>
      <c r="J1201" s="6"/>
      <c r="K1201" s="6"/>
    </row>
    <row r="1202" spans="5:11">
      <c r="E1202" s="6"/>
      <c r="F1202" s="6"/>
      <c r="G1202" s="6"/>
      <c r="H1202" s="6"/>
      <c r="I1202" s="6"/>
      <c r="J1202" s="6"/>
      <c r="K1202" s="6"/>
    </row>
    <row r="1203" spans="5:11">
      <c r="E1203" s="6"/>
      <c r="F1203" s="6"/>
      <c r="G1203" s="6"/>
      <c r="H1203" s="6"/>
      <c r="I1203" s="6"/>
      <c r="J1203" s="6"/>
      <c r="K1203" s="6"/>
    </row>
    <row r="1204" spans="5:11">
      <c r="E1204" s="6"/>
      <c r="F1204" s="6"/>
      <c r="G1204" s="6"/>
      <c r="H1204" s="6"/>
      <c r="I1204" s="6"/>
      <c r="J1204" s="6"/>
      <c r="K1204" s="6"/>
    </row>
    <row r="1205" spans="5:11">
      <c r="E1205" s="6"/>
      <c r="F1205" s="6"/>
      <c r="G1205" s="6"/>
      <c r="H1205" s="6"/>
      <c r="I1205" s="6"/>
      <c r="J1205" s="6"/>
      <c r="K1205" s="6"/>
    </row>
    <row r="1206" spans="5:11">
      <c r="E1206" s="6"/>
      <c r="F1206" s="6"/>
      <c r="G1206" s="6"/>
      <c r="H1206" s="6"/>
      <c r="I1206" s="6"/>
      <c r="J1206" s="6"/>
      <c r="K1206" s="6"/>
    </row>
    <row r="1207" spans="5:11">
      <c r="E1207" s="6"/>
      <c r="F1207" s="6"/>
      <c r="G1207" s="6"/>
      <c r="H1207" s="6"/>
      <c r="I1207" s="6"/>
      <c r="J1207" s="6"/>
      <c r="K1207" s="6"/>
    </row>
    <row r="1208" spans="5:11">
      <c r="E1208" s="6"/>
      <c r="F1208" s="6"/>
      <c r="G1208" s="6"/>
      <c r="H1208" s="6"/>
      <c r="I1208" s="6"/>
      <c r="J1208" s="6"/>
      <c r="K1208" s="6"/>
    </row>
    <row r="1209" spans="5:11">
      <c r="E1209" s="6"/>
      <c r="F1209" s="6"/>
      <c r="G1209" s="6"/>
      <c r="H1209" s="6"/>
      <c r="I1209" s="6"/>
      <c r="J1209" s="6"/>
      <c r="K1209" s="6"/>
    </row>
    <row r="1210" spans="5:11">
      <c r="E1210" s="6"/>
      <c r="F1210" s="6"/>
      <c r="G1210" s="6"/>
      <c r="H1210" s="6"/>
      <c r="I1210" s="6"/>
      <c r="J1210" s="6"/>
      <c r="K1210" s="6"/>
    </row>
    <row r="1211" spans="5:11">
      <c r="E1211" s="6"/>
      <c r="F1211" s="6"/>
      <c r="G1211" s="6"/>
      <c r="H1211" s="6"/>
      <c r="I1211" s="6"/>
      <c r="J1211" s="6"/>
      <c r="K1211" s="6"/>
    </row>
    <row r="1212" spans="5:11">
      <c r="E1212" s="6"/>
      <c r="F1212" s="6"/>
      <c r="G1212" s="6"/>
      <c r="H1212" s="6"/>
      <c r="I1212" s="6"/>
      <c r="J1212" s="6"/>
      <c r="K1212" s="6"/>
    </row>
    <row r="1213" spans="5:11">
      <c r="E1213" s="6"/>
      <c r="F1213" s="6"/>
      <c r="G1213" s="6"/>
      <c r="H1213" s="6"/>
      <c r="I1213" s="6"/>
      <c r="J1213" s="6"/>
      <c r="K1213" s="6"/>
    </row>
    <row r="1214" spans="5:11">
      <c r="E1214" s="6"/>
      <c r="F1214" s="6"/>
      <c r="G1214" s="6"/>
      <c r="H1214" s="6"/>
      <c r="I1214" s="6"/>
      <c r="J1214" s="6"/>
      <c r="K1214" s="6"/>
    </row>
    <row r="1215" spans="5:11">
      <c r="E1215" s="6"/>
      <c r="F1215" s="6"/>
      <c r="G1215" s="6"/>
      <c r="H1215" s="6"/>
      <c r="I1215" s="6"/>
      <c r="J1215" s="6"/>
      <c r="K1215" s="6"/>
    </row>
    <row r="1216" spans="5:11">
      <c r="E1216" s="6"/>
      <c r="F1216" s="6"/>
      <c r="G1216" s="6"/>
      <c r="H1216" s="6"/>
      <c r="I1216" s="6"/>
      <c r="J1216" s="6"/>
      <c r="K1216" s="6"/>
    </row>
    <row r="1217" spans="5:11">
      <c r="E1217" s="6"/>
      <c r="F1217" s="6"/>
      <c r="G1217" s="6"/>
      <c r="H1217" s="6"/>
      <c r="I1217" s="6"/>
      <c r="J1217" s="6"/>
      <c r="K1217" s="6"/>
    </row>
    <row r="1218" spans="5:11">
      <c r="E1218" s="6"/>
      <c r="F1218" s="6"/>
      <c r="G1218" s="6"/>
      <c r="H1218" s="6"/>
      <c r="I1218" s="6"/>
      <c r="J1218" s="6"/>
      <c r="K1218" s="6"/>
    </row>
    <row r="1219" spans="5:11">
      <c r="E1219" s="6"/>
      <c r="F1219" s="6"/>
      <c r="G1219" s="6"/>
      <c r="H1219" s="6"/>
      <c r="I1219" s="6"/>
      <c r="J1219" s="6"/>
      <c r="K1219" s="6"/>
    </row>
    <row r="1220" spans="5:11">
      <c r="E1220" s="6"/>
      <c r="F1220" s="6"/>
      <c r="G1220" s="6"/>
      <c r="H1220" s="6"/>
      <c r="I1220" s="6"/>
      <c r="J1220" s="6"/>
      <c r="K1220" s="6"/>
    </row>
    <row r="1221" spans="5:11">
      <c r="E1221" s="6"/>
      <c r="F1221" s="6"/>
      <c r="G1221" s="6"/>
      <c r="H1221" s="6"/>
      <c r="I1221" s="6"/>
      <c r="J1221" s="6"/>
      <c r="K1221" s="6"/>
    </row>
    <row r="1222" spans="5:11">
      <c r="E1222" s="6"/>
      <c r="F1222" s="6"/>
      <c r="G1222" s="6"/>
      <c r="H1222" s="6"/>
      <c r="I1222" s="6"/>
      <c r="J1222" s="6"/>
      <c r="K1222" s="6"/>
    </row>
    <row r="1223" spans="5:11">
      <c r="E1223" s="6"/>
      <c r="F1223" s="6"/>
      <c r="G1223" s="6"/>
      <c r="H1223" s="6"/>
      <c r="I1223" s="6"/>
      <c r="J1223" s="6"/>
      <c r="K1223" s="6"/>
    </row>
    <row r="1224" spans="5:11">
      <c r="E1224" s="6"/>
      <c r="F1224" s="6"/>
      <c r="G1224" s="6"/>
      <c r="H1224" s="6"/>
      <c r="I1224" s="6"/>
      <c r="J1224" s="6"/>
      <c r="K1224" s="6"/>
    </row>
    <row r="1225" spans="5:11">
      <c r="E1225" s="6"/>
      <c r="F1225" s="6"/>
      <c r="G1225" s="6"/>
      <c r="H1225" s="6"/>
      <c r="I1225" s="6"/>
      <c r="J1225" s="6"/>
      <c r="K1225" s="6"/>
    </row>
    <row r="1226" spans="5:11">
      <c r="E1226" s="6"/>
      <c r="F1226" s="6"/>
      <c r="G1226" s="6"/>
      <c r="H1226" s="6"/>
      <c r="I1226" s="6"/>
      <c r="J1226" s="6"/>
      <c r="K1226" s="6"/>
    </row>
    <row r="1227" spans="5:11">
      <c r="E1227" s="6"/>
      <c r="F1227" s="6"/>
      <c r="G1227" s="6"/>
      <c r="H1227" s="6"/>
      <c r="I1227" s="6"/>
      <c r="J1227" s="6"/>
      <c r="K1227" s="6"/>
    </row>
    <row r="1228" spans="5:11">
      <c r="E1228" s="6"/>
      <c r="F1228" s="6"/>
      <c r="G1228" s="6"/>
      <c r="H1228" s="6"/>
      <c r="I1228" s="6"/>
      <c r="J1228" s="6"/>
      <c r="K1228" s="6"/>
    </row>
    <row r="1229" spans="5:11">
      <c r="E1229" s="6"/>
      <c r="F1229" s="6"/>
      <c r="G1229" s="6"/>
      <c r="H1229" s="6"/>
      <c r="I1229" s="6"/>
      <c r="J1229" s="6"/>
      <c r="K1229" s="6"/>
    </row>
    <row r="1230" spans="5:11">
      <c r="E1230" s="6"/>
      <c r="F1230" s="6"/>
      <c r="G1230" s="6"/>
      <c r="H1230" s="6"/>
      <c r="I1230" s="6"/>
      <c r="J1230" s="6"/>
      <c r="K1230" s="6"/>
    </row>
    <row r="1231" spans="5:11">
      <c r="E1231" s="6"/>
      <c r="F1231" s="6"/>
      <c r="G1231" s="6"/>
      <c r="H1231" s="6"/>
      <c r="I1231" s="6"/>
      <c r="J1231" s="6"/>
      <c r="K1231" s="6"/>
    </row>
    <row r="1232" spans="5:11">
      <c r="E1232" s="6"/>
      <c r="F1232" s="6"/>
      <c r="G1232" s="6"/>
      <c r="H1232" s="6"/>
      <c r="I1232" s="6"/>
      <c r="J1232" s="6"/>
      <c r="K1232" s="6"/>
    </row>
    <row r="1233" spans="5:11">
      <c r="E1233" s="6"/>
      <c r="F1233" s="6"/>
      <c r="G1233" s="6"/>
      <c r="H1233" s="6"/>
      <c r="I1233" s="6"/>
      <c r="J1233" s="6"/>
      <c r="K1233" s="6"/>
    </row>
    <row r="1234" spans="5:11">
      <c r="E1234" s="6"/>
      <c r="F1234" s="6"/>
      <c r="G1234" s="6"/>
      <c r="H1234" s="6"/>
      <c r="I1234" s="6"/>
      <c r="J1234" s="6"/>
      <c r="K1234" s="6"/>
    </row>
    <row r="1235" spans="5:11">
      <c r="E1235" s="6"/>
      <c r="F1235" s="6"/>
      <c r="G1235" s="6"/>
      <c r="H1235" s="6"/>
      <c r="I1235" s="6"/>
      <c r="J1235" s="6"/>
      <c r="K1235" s="6"/>
    </row>
    <row r="1236" spans="5:11">
      <c r="E1236" s="6"/>
      <c r="F1236" s="6"/>
      <c r="G1236" s="6"/>
      <c r="H1236" s="6"/>
      <c r="I1236" s="6"/>
      <c r="J1236" s="6"/>
      <c r="K1236" s="6"/>
    </row>
    <row r="1237" spans="5:11">
      <c r="E1237" s="6"/>
      <c r="F1237" s="6"/>
      <c r="G1237" s="6"/>
      <c r="H1237" s="6"/>
      <c r="I1237" s="6"/>
      <c r="J1237" s="6"/>
      <c r="K1237" s="6"/>
    </row>
    <row r="1238" spans="5:11">
      <c r="E1238" s="6"/>
      <c r="F1238" s="6"/>
      <c r="G1238" s="6"/>
      <c r="H1238" s="6"/>
      <c r="I1238" s="6"/>
      <c r="J1238" s="6"/>
      <c r="K1238" s="6"/>
    </row>
    <row r="1239" spans="5:11">
      <c r="E1239" s="6"/>
      <c r="F1239" s="6"/>
      <c r="G1239" s="6"/>
      <c r="H1239" s="6"/>
      <c r="I1239" s="6"/>
      <c r="J1239" s="6"/>
      <c r="K1239" s="6"/>
    </row>
    <row r="1240" spans="5:11">
      <c r="E1240" s="6"/>
      <c r="F1240" s="6"/>
      <c r="G1240" s="6"/>
      <c r="H1240" s="6"/>
      <c r="I1240" s="6"/>
      <c r="J1240" s="6"/>
      <c r="K1240" s="6"/>
    </row>
    <row r="1241" spans="5:11">
      <c r="E1241" s="6"/>
      <c r="F1241" s="6"/>
      <c r="G1241" s="6"/>
      <c r="H1241" s="6"/>
      <c r="I1241" s="6"/>
      <c r="J1241" s="6"/>
      <c r="K1241" s="6"/>
    </row>
    <row r="1242" spans="5:11">
      <c r="E1242" s="6"/>
      <c r="F1242" s="6"/>
      <c r="G1242" s="6"/>
      <c r="H1242" s="6"/>
      <c r="I1242" s="6"/>
      <c r="J1242" s="6"/>
      <c r="K1242" s="6"/>
    </row>
    <row r="1243" spans="5:11">
      <c r="E1243" s="6"/>
      <c r="F1243" s="6"/>
      <c r="G1243" s="6"/>
      <c r="H1243" s="6"/>
      <c r="I1243" s="6"/>
      <c r="J1243" s="6"/>
      <c r="K1243" s="6"/>
    </row>
    <row r="1244" spans="5:11">
      <c r="E1244" s="6"/>
      <c r="F1244" s="6"/>
      <c r="G1244" s="6"/>
      <c r="H1244" s="6"/>
      <c r="I1244" s="6"/>
      <c r="J1244" s="6"/>
      <c r="K1244" s="6"/>
    </row>
    <row r="1245" spans="5:11">
      <c r="E1245" s="6"/>
      <c r="F1245" s="6"/>
      <c r="G1245" s="6"/>
      <c r="H1245" s="6"/>
      <c r="I1245" s="6"/>
      <c r="J1245" s="6"/>
      <c r="K1245" s="6"/>
    </row>
    <row r="1246" spans="5:11">
      <c r="E1246" s="6"/>
      <c r="F1246" s="6"/>
      <c r="G1246" s="6"/>
      <c r="H1246" s="6"/>
      <c r="I1246" s="6"/>
      <c r="J1246" s="6"/>
      <c r="K1246" s="6"/>
    </row>
    <row r="1247" spans="5:11">
      <c r="E1247" s="6"/>
      <c r="F1247" s="6"/>
      <c r="G1247" s="6"/>
      <c r="H1247" s="6"/>
      <c r="I1247" s="6"/>
      <c r="J1247" s="6"/>
      <c r="K1247" s="6"/>
    </row>
    <row r="1248" spans="5:11">
      <c r="E1248" s="6"/>
      <c r="F1248" s="6"/>
      <c r="G1248" s="6"/>
      <c r="H1248" s="6"/>
      <c r="I1248" s="6"/>
      <c r="J1248" s="6"/>
      <c r="K1248" s="6"/>
    </row>
    <row r="1249" spans="5:11">
      <c r="E1249" s="6"/>
      <c r="F1249" s="6"/>
      <c r="G1249" s="6"/>
      <c r="H1249" s="6"/>
      <c r="I1249" s="6"/>
      <c r="J1249" s="6"/>
      <c r="K1249" s="6"/>
    </row>
    <row r="1250" spans="5:11">
      <c r="E1250" s="6"/>
      <c r="F1250" s="6"/>
      <c r="G1250" s="6"/>
      <c r="H1250" s="6"/>
      <c r="I1250" s="6"/>
      <c r="J1250" s="6"/>
      <c r="K1250" s="6"/>
    </row>
    <row r="1251" spans="5:11">
      <c r="E1251" s="6"/>
      <c r="F1251" s="6"/>
      <c r="G1251" s="6"/>
      <c r="H1251" s="6"/>
      <c r="I1251" s="6"/>
      <c r="J1251" s="6"/>
      <c r="K1251" s="6"/>
    </row>
    <row r="1252" spans="5:11">
      <c r="E1252" s="6"/>
      <c r="F1252" s="6"/>
      <c r="G1252" s="6"/>
      <c r="H1252" s="6"/>
      <c r="I1252" s="6"/>
      <c r="J1252" s="6"/>
      <c r="K1252" s="6"/>
    </row>
    <row r="1253" spans="5:11">
      <c r="E1253" s="6"/>
      <c r="F1253" s="6"/>
      <c r="G1253" s="6"/>
      <c r="H1253" s="6"/>
      <c r="I1253" s="6"/>
      <c r="J1253" s="6"/>
      <c r="K1253" s="6"/>
    </row>
    <row r="1254" spans="5:11">
      <c r="E1254" s="6"/>
      <c r="F1254" s="6"/>
      <c r="G1254" s="6"/>
      <c r="H1254" s="6"/>
      <c r="I1254" s="6"/>
      <c r="J1254" s="6"/>
      <c r="K1254" s="6"/>
    </row>
    <row r="1255" spans="5:11">
      <c r="E1255" s="6"/>
      <c r="F1255" s="6"/>
      <c r="G1255" s="6"/>
      <c r="H1255" s="6"/>
      <c r="I1255" s="6"/>
      <c r="J1255" s="6"/>
      <c r="K1255" s="6"/>
    </row>
    <row r="1256" spans="5:11">
      <c r="E1256" s="6"/>
      <c r="F1256" s="6"/>
      <c r="G1256" s="6"/>
      <c r="H1256" s="6"/>
      <c r="I1256" s="6"/>
      <c r="J1256" s="6"/>
      <c r="K1256" s="6"/>
    </row>
    <row r="1257" spans="5:11">
      <c r="E1257" s="6"/>
      <c r="F1257" s="6"/>
      <c r="G1257" s="6"/>
      <c r="H1257" s="6"/>
      <c r="I1257" s="6"/>
      <c r="J1257" s="6"/>
      <c r="K1257" s="6"/>
    </row>
    <row r="1258" spans="5:11">
      <c r="E1258" s="6"/>
      <c r="F1258" s="6"/>
      <c r="G1258" s="6"/>
      <c r="H1258" s="6"/>
      <c r="I1258" s="6"/>
      <c r="J1258" s="6"/>
      <c r="K1258" s="6"/>
    </row>
    <row r="1259" spans="5:11">
      <c r="E1259" s="6"/>
      <c r="F1259" s="6"/>
      <c r="G1259" s="6"/>
      <c r="H1259" s="6"/>
      <c r="I1259" s="6"/>
      <c r="J1259" s="6"/>
      <c r="K1259" s="6"/>
    </row>
    <row r="1260" spans="5:11">
      <c r="E1260" s="6"/>
      <c r="F1260" s="6"/>
      <c r="G1260" s="6"/>
      <c r="H1260" s="6"/>
      <c r="I1260" s="6"/>
      <c r="J1260" s="6"/>
      <c r="K1260" s="6"/>
    </row>
    <row r="1261" spans="5:11">
      <c r="E1261" s="6"/>
      <c r="F1261" s="6"/>
      <c r="G1261" s="6"/>
      <c r="H1261" s="6"/>
      <c r="I1261" s="6"/>
      <c r="J1261" s="6"/>
      <c r="K1261" s="6"/>
    </row>
    <row r="1262" spans="5:11">
      <c r="E1262" s="6"/>
      <c r="F1262" s="6"/>
      <c r="G1262" s="6"/>
      <c r="H1262" s="6"/>
      <c r="I1262" s="6"/>
      <c r="J1262" s="6"/>
      <c r="K1262" s="6"/>
    </row>
    <row r="1263" spans="5:11">
      <c r="E1263" s="6"/>
      <c r="F1263" s="6"/>
      <c r="G1263" s="6"/>
      <c r="H1263" s="6"/>
      <c r="I1263" s="6"/>
      <c r="J1263" s="6"/>
      <c r="K1263" s="6"/>
    </row>
    <row r="1264" spans="5:11">
      <c r="E1264" s="6"/>
      <c r="F1264" s="6"/>
      <c r="G1264" s="6"/>
      <c r="H1264" s="6"/>
      <c r="I1264" s="6"/>
      <c r="J1264" s="6"/>
      <c r="K1264" s="6"/>
    </row>
    <row r="1265" spans="5:11">
      <c r="E1265" s="6"/>
      <c r="F1265" s="6"/>
      <c r="G1265" s="6"/>
      <c r="H1265" s="6"/>
      <c r="I1265" s="6"/>
      <c r="J1265" s="6"/>
      <c r="K1265" s="6"/>
    </row>
    <row r="1266" spans="5:11">
      <c r="E1266" s="6"/>
      <c r="F1266" s="6"/>
      <c r="G1266" s="6"/>
      <c r="H1266" s="6"/>
      <c r="I1266" s="6"/>
      <c r="J1266" s="6"/>
      <c r="K1266" s="6"/>
    </row>
    <row r="1267" spans="5:11">
      <c r="E1267" s="6"/>
      <c r="F1267" s="6"/>
      <c r="G1267" s="6"/>
      <c r="H1267" s="6"/>
      <c r="I1267" s="6"/>
      <c r="J1267" s="6"/>
      <c r="K1267" s="6"/>
    </row>
    <row r="1268" spans="5:11">
      <c r="E1268" s="6"/>
      <c r="F1268" s="6"/>
      <c r="G1268" s="6"/>
      <c r="H1268" s="6"/>
      <c r="I1268" s="6"/>
      <c r="J1268" s="6"/>
      <c r="K1268" s="6"/>
    </row>
    <row r="1269" spans="5:11">
      <c r="E1269" s="6"/>
      <c r="F1269" s="6"/>
      <c r="G1269" s="6"/>
      <c r="H1269" s="6"/>
      <c r="I1269" s="6"/>
      <c r="J1269" s="6"/>
      <c r="K1269" s="6"/>
    </row>
    <row r="1270" spans="5:11">
      <c r="E1270" s="6"/>
      <c r="F1270" s="6"/>
      <c r="G1270" s="6"/>
      <c r="H1270" s="6"/>
      <c r="I1270" s="6"/>
      <c r="J1270" s="6"/>
      <c r="K1270" s="6"/>
    </row>
    <row r="1271" spans="5:11">
      <c r="E1271" s="6"/>
      <c r="F1271" s="6"/>
      <c r="G1271" s="6"/>
      <c r="H1271" s="6"/>
      <c r="I1271" s="6"/>
      <c r="J1271" s="6"/>
      <c r="K1271" s="6"/>
    </row>
    <row r="1272" spans="5:11">
      <c r="E1272" s="6"/>
      <c r="F1272" s="6"/>
      <c r="G1272" s="6"/>
      <c r="H1272" s="6"/>
      <c r="I1272" s="6"/>
      <c r="J1272" s="6"/>
      <c r="K1272" s="6"/>
    </row>
    <row r="1273" spans="5:11">
      <c r="E1273" s="6"/>
      <c r="F1273" s="6"/>
      <c r="G1273" s="6"/>
      <c r="H1273" s="6"/>
      <c r="I1273" s="6"/>
      <c r="J1273" s="6"/>
      <c r="K1273" s="6"/>
    </row>
    <row r="1274" spans="5:11">
      <c r="E1274" s="6"/>
      <c r="F1274" s="6"/>
      <c r="G1274" s="6"/>
      <c r="H1274" s="6"/>
      <c r="I1274" s="6"/>
      <c r="J1274" s="6"/>
      <c r="K1274" s="6"/>
    </row>
    <row r="1275" spans="5:11">
      <c r="E1275" s="6"/>
      <c r="F1275" s="6"/>
      <c r="G1275" s="6"/>
      <c r="H1275" s="6"/>
      <c r="I1275" s="6"/>
      <c r="J1275" s="6"/>
      <c r="K1275" s="6"/>
    </row>
    <row r="1276" spans="5:11">
      <c r="E1276" s="6"/>
      <c r="F1276" s="6"/>
      <c r="G1276" s="6"/>
      <c r="H1276" s="6"/>
      <c r="I1276" s="6"/>
      <c r="J1276" s="6"/>
      <c r="K1276" s="6"/>
    </row>
    <row r="1277" spans="5:11">
      <c r="E1277" s="6"/>
      <c r="F1277" s="6"/>
      <c r="G1277" s="6"/>
      <c r="H1277" s="6"/>
      <c r="I1277" s="6"/>
      <c r="J1277" s="6"/>
      <c r="K1277" s="6"/>
    </row>
    <row r="1278" spans="5:11">
      <c r="E1278" s="6"/>
      <c r="F1278" s="6"/>
      <c r="G1278" s="6"/>
      <c r="H1278" s="6"/>
      <c r="I1278" s="6"/>
      <c r="J1278" s="6"/>
      <c r="K1278" s="6"/>
    </row>
    <row r="1279" spans="5:11">
      <c r="E1279" s="6"/>
      <c r="F1279" s="6"/>
      <c r="G1279" s="6"/>
      <c r="H1279" s="6"/>
      <c r="I1279" s="6"/>
      <c r="J1279" s="6"/>
      <c r="K1279" s="6"/>
    </row>
    <row r="1280" spans="5:11">
      <c r="E1280" s="6"/>
      <c r="F1280" s="6"/>
      <c r="G1280" s="6"/>
      <c r="H1280" s="6"/>
      <c r="I1280" s="6"/>
      <c r="J1280" s="6"/>
      <c r="K1280" s="6"/>
    </row>
    <row r="1281" spans="5:11">
      <c r="E1281" s="6"/>
      <c r="F1281" s="6"/>
      <c r="G1281" s="6"/>
      <c r="H1281" s="6"/>
      <c r="I1281" s="6"/>
      <c r="J1281" s="6"/>
      <c r="K1281" s="6"/>
    </row>
    <row r="1282" spans="5:11">
      <c r="E1282" s="6"/>
      <c r="F1282" s="6"/>
      <c r="G1282" s="6"/>
      <c r="H1282" s="6"/>
      <c r="I1282" s="6"/>
      <c r="J1282" s="6"/>
      <c r="K1282" s="6"/>
    </row>
    <row r="1283" spans="5:11">
      <c r="E1283" s="6"/>
      <c r="F1283" s="6"/>
      <c r="G1283" s="6"/>
      <c r="H1283" s="6"/>
      <c r="I1283" s="6"/>
      <c r="J1283" s="6"/>
      <c r="K1283" s="6"/>
    </row>
    <row r="1284" spans="5:11">
      <c r="E1284" s="6"/>
      <c r="F1284" s="6"/>
      <c r="G1284" s="6"/>
      <c r="H1284" s="6"/>
      <c r="I1284" s="6"/>
      <c r="J1284" s="6"/>
      <c r="K1284" s="6"/>
    </row>
    <row r="1285" spans="5:11">
      <c r="E1285" s="6"/>
      <c r="F1285" s="6"/>
      <c r="G1285" s="6"/>
      <c r="H1285" s="6"/>
      <c r="I1285" s="6"/>
      <c r="J1285" s="6"/>
      <c r="K1285" s="6"/>
    </row>
    <row r="1286" spans="5:11">
      <c r="E1286" s="6"/>
      <c r="F1286" s="6"/>
      <c r="G1286" s="6"/>
      <c r="H1286" s="6"/>
      <c r="I1286" s="6"/>
      <c r="J1286" s="6"/>
      <c r="K1286" s="6"/>
    </row>
    <row r="1287" spans="5:11">
      <c r="E1287" s="6"/>
      <c r="F1287" s="6"/>
      <c r="G1287" s="6"/>
      <c r="H1287" s="6"/>
      <c r="I1287" s="6"/>
      <c r="J1287" s="6"/>
      <c r="K1287" s="6"/>
    </row>
    <row r="1288" spans="5:11">
      <c r="E1288" s="6"/>
      <c r="F1288" s="6"/>
      <c r="G1288" s="6"/>
      <c r="H1288" s="6"/>
      <c r="I1288" s="6"/>
      <c r="J1288" s="6"/>
      <c r="K1288" s="6"/>
    </row>
    <row r="1289" spans="5:11">
      <c r="E1289" s="6"/>
      <c r="F1289" s="6"/>
      <c r="G1289" s="6"/>
      <c r="H1289" s="6"/>
      <c r="I1289" s="6"/>
      <c r="J1289" s="6"/>
      <c r="K1289" s="6"/>
    </row>
    <row r="1290" spans="5:11">
      <c r="E1290" s="6"/>
      <c r="F1290" s="6"/>
      <c r="G1290" s="6"/>
      <c r="H1290" s="6"/>
      <c r="I1290" s="6"/>
      <c r="J1290" s="6"/>
      <c r="K1290" s="6"/>
    </row>
    <row r="1291" spans="5:11">
      <c r="E1291" s="6"/>
      <c r="F1291" s="6"/>
      <c r="G1291" s="6"/>
      <c r="H1291" s="6"/>
      <c r="I1291" s="6"/>
      <c r="J1291" s="6"/>
      <c r="K1291" s="6"/>
    </row>
    <row r="1292" spans="5:11">
      <c r="E1292" s="6"/>
      <c r="F1292" s="6"/>
      <c r="G1292" s="6"/>
      <c r="H1292" s="6"/>
      <c r="I1292" s="6"/>
      <c r="J1292" s="6"/>
      <c r="K1292" s="6"/>
    </row>
    <row r="1293" spans="5:11">
      <c r="E1293" s="6"/>
      <c r="F1293" s="6"/>
      <c r="G1293" s="6"/>
      <c r="H1293" s="6"/>
      <c r="I1293" s="6"/>
      <c r="J1293" s="6"/>
      <c r="K1293" s="6"/>
    </row>
    <row r="1294" spans="5:11">
      <c r="E1294" s="6"/>
      <c r="F1294" s="6"/>
      <c r="G1294" s="6"/>
      <c r="H1294" s="6"/>
      <c r="I1294" s="6"/>
      <c r="J1294" s="6"/>
      <c r="K1294" s="6"/>
    </row>
    <row r="1295" spans="5:11">
      <c r="E1295" s="6"/>
      <c r="F1295" s="6"/>
      <c r="G1295" s="6"/>
      <c r="H1295" s="6"/>
      <c r="I1295" s="6"/>
      <c r="J1295" s="6"/>
      <c r="K1295" s="6"/>
    </row>
    <row r="1296" spans="5:11">
      <c r="E1296" s="6"/>
      <c r="F1296" s="6"/>
      <c r="G1296" s="6"/>
      <c r="H1296" s="6"/>
      <c r="I1296" s="6"/>
      <c r="J1296" s="6"/>
      <c r="K1296" s="6"/>
    </row>
    <row r="1297" spans="5:11">
      <c r="E1297" s="6"/>
      <c r="F1297" s="6"/>
      <c r="G1297" s="6"/>
      <c r="H1297" s="6"/>
      <c r="I1297" s="6"/>
      <c r="J1297" s="6"/>
      <c r="K1297" s="6"/>
    </row>
    <row r="1298" spans="5:11">
      <c r="E1298" s="6"/>
      <c r="F1298" s="6"/>
      <c r="G1298" s="6"/>
      <c r="H1298" s="6"/>
      <c r="I1298" s="6"/>
      <c r="J1298" s="6"/>
      <c r="K1298" s="6"/>
    </row>
    <row r="1299" spans="5:11">
      <c r="E1299" s="6"/>
      <c r="F1299" s="6"/>
      <c r="G1299" s="6"/>
      <c r="H1299" s="6"/>
      <c r="I1299" s="6"/>
      <c r="J1299" s="6"/>
      <c r="K1299" s="6"/>
    </row>
    <row r="1300" spans="5:11">
      <c r="E1300" s="6"/>
      <c r="F1300" s="6"/>
      <c r="G1300" s="6"/>
      <c r="H1300" s="6"/>
      <c r="I1300" s="6"/>
      <c r="J1300" s="6"/>
      <c r="K1300" s="6"/>
    </row>
    <row r="1301" spans="5:11">
      <c r="E1301" s="6"/>
      <c r="F1301" s="6"/>
      <c r="G1301" s="6"/>
      <c r="H1301" s="6"/>
      <c r="I1301" s="6"/>
      <c r="J1301" s="6"/>
      <c r="K1301" s="6"/>
    </row>
    <row r="1302" spans="5:11">
      <c r="E1302" s="6"/>
      <c r="F1302" s="6"/>
      <c r="G1302" s="6"/>
      <c r="H1302" s="6"/>
      <c r="I1302" s="6"/>
      <c r="J1302" s="6"/>
      <c r="K1302" s="6"/>
    </row>
    <row r="1303" spans="5:11">
      <c r="E1303" s="6"/>
      <c r="F1303" s="6"/>
      <c r="G1303" s="6"/>
      <c r="H1303" s="6"/>
      <c r="I1303" s="6"/>
      <c r="J1303" s="6"/>
      <c r="K1303" s="6"/>
    </row>
    <row r="1304" spans="5:11">
      <c r="E1304" s="6"/>
      <c r="F1304" s="6"/>
      <c r="G1304" s="6"/>
      <c r="H1304" s="6"/>
      <c r="I1304" s="6"/>
      <c r="J1304" s="6"/>
      <c r="K1304" s="6"/>
    </row>
    <row r="1305" spans="5:11">
      <c r="E1305" s="6"/>
      <c r="F1305" s="6"/>
      <c r="G1305" s="6"/>
      <c r="H1305" s="6"/>
      <c r="I1305" s="6"/>
      <c r="J1305" s="6"/>
      <c r="K1305" s="6"/>
    </row>
    <row r="1306" spans="5:11">
      <c r="E1306" s="6"/>
      <c r="F1306" s="6"/>
      <c r="G1306" s="6"/>
      <c r="H1306" s="6"/>
      <c r="I1306" s="6"/>
      <c r="J1306" s="6"/>
      <c r="K1306" s="6"/>
    </row>
    <row r="1307" spans="5:11">
      <c r="E1307" s="6"/>
      <c r="F1307" s="6"/>
      <c r="G1307" s="6"/>
      <c r="H1307" s="6"/>
      <c r="I1307" s="6"/>
      <c r="J1307" s="6"/>
      <c r="K1307" s="6"/>
    </row>
    <row r="1308" spans="5:11">
      <c r="E1308" s="6"/>
      <c r="F1308" s="6"/>
      <c r="G1308" s="6"/>
      <c r="H1308" s="6"/>
      <c r="I1308" s="6"/>
      <c r="J1308" s="6"/>
      <c r="K1308" s="6"/>
    </row>
    <row r="1309" spans="5:11">
      <c r="E1309" s="6"/>
      <c r="F1309" s="6"/>
      <c r="G1309" s="6"/>
      <c r="H1309" s="6"/>
      <c r="I1309" s="6"/>
      <c r="J1309" s="6"/>
      <c r="K1309" s="6"/>
    </row>
    <row r="1310" spans="5:11">
      <c r="E1310" s="6"/>
      <c r="F1310" s="6"/>
      <c r="G1310" s="6"/>
      <c r="H1310" s="6"/>
      <c r="I1310" s="6"/>
      <c r="J1310" s="6"/>
      <c r="K1310" s="6"/>
    </row>
    <row r="1311" spans="5:11">
      <c r="E1311" s="6"/>
      <c r="F1311" s="6"/>
      <c r="G1311" s="6"/>
      <c r="H1311" s="6"/>
      <c r="I1311" s="6"/>
      <c r="J1311" s="6"/>
      <c r="K1311" s="6"/>
    </row>
    <row r="1312" spans="5:11">
      <c r="E1312" s="6"/>
      <c r="F1312" s="6"/>
      <c r="G1312" s="6"/>
      <c r="H1312" s="6"/>
      <c r="I1312" s="6"/>
      <c r="J1312" s="6"/>
      <c r="K1312" s="6"/>
    </row>
    <row r="1313" spans="5:11">
      <c r="E1313" s="6"/>
      <c r="F1313" s="6"/>
      <c r="G1313" s="6"/>
      <c r="H1313" s="6"/>
      <c r="I1313" s="6"/>
      <c r="J1313" s="6"/>
      <c r="K1313" s="6"/>
    </row>
    <row r="1314" spans="5:11">
      <c r="E1314" s="6"/>
      <c r="F1314" s="6"/>
      <c r="G1314" s="6"/>
      <c r="H1314" s="6"/>
      <c r="I1314" s="6"/>
      <c r="J1314" s="6"/>
      <c r="K1314" s="6"/>
    </row>
    <row r="1315" spans="5:11">
      <c r="E1315" s="6"/>
      <c r="F1315" s="6"/>
      <c r="G1315" s="6"/>
      <c r="H1315" s="6"/>
      <c r="I1315" s="6"/>
      <c r="J1315" s="6"/>
      <c r="K1315" s="6"/>
    </row>
    <row r="1316" spans="5:11">
      <c r="E1316" s="6"/>
      <c r="F1316" s="6"/>
      <c r="G1316" s="6"/>
      <c r="H1316" s="6"/>
      <c r="I1316" s="6"/>
      <c r="J1316" s="6"/>
      <c r="K1316" s="6"/>
    </row>
    <row r="1317" spans="5:11">
      <c r="E1317" s="6"/>
      <c r="F1317" s="6"/>
      <c r="G1317" s="6"/>
      <c r="H1317" s="6"/>
      <c r="I1317" s="6"/>
      <c r="J1317" s="6"/>
      <c r="K1317" s="6"/>
    </row>
    <row r="1318" spans="5:11">
      <c r="E1318" s="6"/>
      <c r="F1318" s="6"/>
      <c r="G1318" s="6"/>
      <c r="H1318" s="6"/>
      <c r="I1318" s="6"/>
      <c r="J1318" s="6"/>
      <c r="K1318" s="6"/>
    </row>
    <row r="1319" spans="5:11">
      <c r="E1319" s="6"/>
      <c r="F1319" s="6"/>
      <c r="G1319" s="6"/>
      <c r="H1319" s="6"/>
      <c r="I1319" s="6"/>
      <c r="J1319" s="6"/>
      <c r="K1319" s="6"/>
    </row>
    <row r="1320" spans="5:11">
      <c r="E1320" s="6"/>
      <c r="F1320" s="6"/>
      <c r="G1320" s="6"/>
      <c r="H1320" s="6"/>
      <c r="I1320" s="6"/>
      <c r="J1320" s="6"/>
      <c r="K1320" s="6"/>
    </row>
    <row r="1321" spans="5:11">
      <c r="E1321" s="6"/>
      <c r="F1321" s="6"/>
      <c r="G1321" s="6"/>
      <c r="H1321" s="6"/>
      <c r="I1321" s="6"/>
      <c r="J1321" s="6"/>
      <c r="K1321" s="6"/>
    </row>
    <row r="1322" spans="5:11">
      <c r="E1322" s="6"/>
      <c r="F1322" s="6"/>
      <c r="G1322" s="6"/>
      <c r="H1322" s="6"/>
      <c r="I1322" s="6"/>
      <c r="J1322" s="6"/>
      <c r="K1322" s="6"/>
    </row>
    <row r="1323" spans="5:11">
      <c r="E1323" s="6"/>
      <c r="F1323" s="6"/>
      <c r="G1323" s="6"/>
      <c r="H1323" s="6"/>
      <c r="I1323" s="6"/>
      <c r="J1323" s="6"/>
      <c r="K1323" s="6"/>
    </row>
    <row r="1324" spans="5:11">
      <c r="E1324" s="6"/>
      <c r="F1324" s="6"/>
      <c r="G1324" s="6"/>
      <c r="H1324" s="6"/>
      <c r="I1324" s="6"/>
      <c r="J1324" s="6"/>
      <c r="K1324" s="6"/>
    </row>
    <row r="1325" spans="5:11">
      <c r="E1325" s="6"/>
      <c r="F1325" s="6"/>
      <c r="G1325" s="6"/>
      <c r="H1325" s="6"/>
      <c r="I1325" s="6"/>
      <c r="J1325" s="6"/>
      <c r="K1325" s="6"/>
    </row>
    <row r="1326" spans="5:11">
      <c r="E1326" s="6"/>
      <c r="F1326" s="6"/>
      <c r="G1326" s="6"/>
      <c r="H1326" s="6"/>
      <c r="I1326" s="6"/>
      <c r="J1326" s="6"/>
      <c r="K1326" s="6"/>
    </row>
    <row r="1327" spans="5:11">
      <c r="E1327" s="6"/>
      <c r="F1327" s="6"/>
      <c r="G1327" s="6"/>
      <c r="H1327" s="6"/>
      <c r="I1327" s="6"/>
      <c r="J1327" s="6"/>
      <c r="K1327" s="6"/>
    </row>
    <row r="1328" spans="5:11">
      <c r="E1328" s="6"/>
      <c r="F1328" s="6"/>
      <c r="G1328" s="6"/>
      <c r="H1328" s="6"/>
      <c r="I1328" s="6"/>
      <c r="J1328" s="6"/>
      <c r="K1328" s="6"/>
    </row>
  </sheetData>
  <pageMargins left="0.7" right="0.7" top="0.75" bottom="0.75" header="0.3" footer="0.3"/>
  <pageSetup paperSize="8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6EF27-8035-4BAB-96F4-9B0FA2EDCA5E}">
  <sheetPr>
    <tabColor theme="3" tint="0.59999389629810485"/>
  </sheetPr>
  <dimension ref="A1:W78"/>
  <sheetViews>
    <sheetView topLeftCell="A7" zoomScaleNormal="100" workbookViewId="0">
      <selection activeCell="O31" sqref="O31"/>
    </sheetView>
  </sheetViews>
  <sheetFormatPr defaultColWidth="8.7109375" defaultRowHeight="12.75"/>
  <cols>
    <col min="1" max="1" width="24" customWidth="1"/>
    <col min="21" max="21" width="11" customWidth="1"/>
  </cols>
  <sheetData>
    <row r="1" spans="1:21" ht="16.5" thickBot="1">
      <c r="B1" s="33">
        <v>2017</v>
      </c>
      <c r="C1" s="33">
        <v>2018</v>
      </c>
      <c r="D1" s="32"/>
      <c r="E1" s="32"/>
      <c r="F1" s="32"/>
      <c r="G1" s="33">
        <v>2019</v>
      </c>
      <c r="H1" s="32"/>
      <c r="I1" s="32"/>
      <c r="J1" s="32"/>
      <c r="K1" s="30">
        <v>2020</v>
      </c>
      <c r="L1" s="31"/>
      <c r="M1" s="32"/>
      <c r="N1" s="32"/>
    </row>
    <row r="2" spans="1:21" ht="13.5" thickBot="1">
      <c r="B2" s="82" t="s">
        <v>172</v>
      </c>
      <c r="C2" s="40" t="s">
        <v>173</v>
      </c>
      <c r="D2" s="41" t="s">
        <v>174</v>
      </c>
      <c r="E2" s="41" t="s">
        <v>175</v>
      </c>
      <c r="F2" s="41" t="s">
        <v>176</v>
      </c>
      <c r="G2" s="40" t="s">
        <v>42</v>
      </c>
      <c r="H2" s="41" t="s">
        <v>43</v>
      </c>
      <c r="I2" s="41" t="s">
        <v>44</v>
      </c>
      <c r="J2" s="41" t="s">
        <v>45</v>
      </c>
      <c r="K2" s="40" t="s">
        <v>46</v>
      </c>
      <c r="L2" s="41" t="s">
        <v>47</v>
      </c>
      <c r="M2" s="41" t="s">
        <v>48</v>
      </c>
      <c r="N2" s="42" t="s">
        <v>49</v>
      </c>
    </row>
    <row r="3" spans="1:21">
      <c r="A3" s="149" t="s">
        <v>95</v>
      </c>
      <c r="B3" s="86"/>
      <c r="C3" s="86" t="s">
        <v>96</v>
      </c>
      <c r="D3" s="94"/>
      <c r="E3" s="94"/>
      <c r="F3" s="94"/>
      <c r="G3" s="86" t="s">
        <v>96</v>
      </c>
      <c r="H3" s="94"/>
      <c r="I3" s="94"/>
      <c r="J3" s="94"/>
      <c r="K3" s="86" t="s">
        <v>96</v>
      </c>
      <c r="L3" s="86"/>
      <c r="M3" s="86"/>
      <c r="N3" s="86"/>
    </row>
    <row r="4" spans="1:21">
      <c r="A4" s="252" t="s">
        <v>98</v>
      </c>
      <c r="B4" s="156"/>
      <c r="C4" s="156">
        <v>9.6300000000000008</v>
      </c>
      <c r="D4" s="157">
        <v>9.5500000000000007</v>
      </c>
      <c r="E4" s="157">
        <v>9.58</v>
      </c>
      <c r="F4" s="158">
        <v>9.6300000000000008</v>
      </c>
      <c r="G4" s="156">
        <v>9.74</v>
      </c>
      <c r="H4" s="157">
        <v>9.7200000000000006</v>
      </c>
      <c r="I4" s="157">
        <v>9.85</v>
      </c>
      <c r="J4" s="158">
        <v>10.09</v>
      </c>
      <c r="K4" s="156">
        <v>10.46</v>
      </c>
      <c r="L4" s="157">
        <v>11.02</v>
      </c>
      <c r="M4" s="157">
        <v>10.67</v>
      </c>
      <c r="N4" s="158">
        <v>10.76</v>
      </c>
    </row>
    <row r="5" spans="1:21">
      <c r="A5" s="241" t="s">
        <v>99</v>
      </c>
      <c r="B5" s="249"/>
      <c r="C5" s="249">
        <v>7.84</v>
      </c>
      <c r="D5" s="250">
        <v>8.02</v>
      </c>
      <c r="E5" s="250">
        <v>8.24</v>
      </c>
      <c r="F5" s="251">
        <v>8.44</v>
      </c>
      <c r="G5" s="249">
        <v>8.59</v>
      </c>
      <c r="H5" s="250">
        <v>8.65</v>
      </c>
      <c r="I5" s="250">
        <v>8.86</v>
      </c>
      <c r="J5" s="251">
        <v>9.11</v>
      </c>
      <c r="K5" s="249">
        <v>9.49</v>
      </c>
      <c r="L5" s="250">
        <v>10.02</v>
      </c>
      <c r="M5" s="250">
        <v>9.1300000000000008</v>
      </c>
      <c r="N5" s="175">
        <v>9.02</v>
      </c>
    </row>
    <row r="6" spans="1:21">
      <c r="A6" s="149" t="s">
        <v>95</v>
      </c>
      <c r="B6" s="86"/>
      <c r="C6" s="86" t="s">
        <v>224</v>
      </c>
      <c r="D6" s="94"/>
      <c r="E6" s="94"/>
      <c r="F6" s="94"/>
      <c r="G6" s="86" t="s">
        <v>224</v>
      </c>
      <c r="H6" s="94"/>
      <c r="I6" s="94"/>
      <c r="J6" s="94"/>
      <c r="K6" s="79" t="s">
        <v>225</v>
      </c>
      <c r="L6" s="166"/>
      <c r="M6" s="94"/>
      <c r="N6" s="94"/>
    </row>
    <row r="7" spans="1:21">
      <c r="A7" s="252" t="s">
        <v>98</v>
      </c>
      <c r="B7" s="156"/>
      <c r="C7" s="156">
        <v>9.84</v>
      </c>
      <c r="D7" s="157">
        <v>9.64</v>
      </c>
      <c r="E7" s="157">
        <v>9.51</v>
      </c>
      <c r="F7" s="158">
        <v>9.4700000000000006</v>
      </c>
      <c r="G7" s="156">
        <v>9.9499999999999993</v>
      </c>
      <c r="H7" s="157">
        <v>9.66</v>
      </c>
      <c r="I7" s="157">
        <v>9.69</v>
      </c>
      <c r="J7" s="158">
        <v>9.9</v>
      </c>
      <c r="K7" s="156">
        <v>9.86</v>
      </c>
      <c r="L7" s="157">
        <v>11.51</v>
      </c>
      <c r="M7" s="157">
        <v>10.91</v>
      </c>
      <c r="N7" s="158">
        <v>11.1</v>
      </c>
    </row>
    <row r="8" spans="1:21">
      <c r="A8" s="241" t="s">
        <v>99</v>
      </c>
      <c r="B8" s="249"/>
      <c r="C8" s="249">
        <v>8.2100000000000009</v>
      </c>
      <c r="D8" s="250">
        <v>7.77</v>
      </c>
      <c r="E8" s="250">
        <v>8.16</v>
      </c>
      <c r="F8" s="251">
        <v>8.18</v>
      </c>
      <c r="G8" s="249">
        <v>8.69</v>
      </c>
      <c r="H8" s="250">
        <v>8.6</v>
      </c>
      <c r="I8" s="250">
        <v>8.52</v>
      </c>
      <c r="J8" s="251">
        <v>9.09</v>
      </c>
      <c r="K8" s="249">
        <v>8.7799999999999994</v>
      </c>
      <c r="L8" s="250">
        <v>10.51</v>
      </c>
      <c r="M8" s="250">
        <v>9.74</v>
      </c>
      <c r="N8" s="175">
        <v>9.48</v>
      </c>
    </row>
    <row r="9" spans="1:21">
      <c r="A9" s="149" t="s">
        <v>95</v>
      </c>
      <c r="B9" s="86"/>
      <c r="C9" s="86" t="s">
        <v>226</v>
      </c>
      <c r="D9" s="94"/>
      <c r="E9" s="94"/>
      <c r="F9" s="94"/>
      <c r="G9" s="86" t="s">
        <v>226</v>
      </c>
      <c r="H9" s="94"/>
      <c r="I9" s="94"/>
      <c r="J9" s="94"/>
      <c r="K9" s="79" t="s">
        <v>227</v>
      </c>
      <c r="L9" s="166"/>
      <c r="M9" s="94"/>
      <c r="N9" s="94"/>
    </row>
    <row r="10" spans="1:21">
      <c r="A10" s="252" t="s">
        <v>98</v>
      </c>
      <c r="B10" s="156">
        <v>9.8402999999999992</v>
      </c>
      <c r="C10" s="156">
        <f>D7</f>
        <v>9.64</v>
      </c>
      <c r="D10" s="157">
        <f t="shared" ref="D10:J10" si="0">E7</f>
        <v>9.51</v>
      </c>
      <c r="E10" s="157">
        <f t="shared" si="0"/>
        <v>9.4700000000000006</v>
      </c>
      <c r="F10" s="158">
        <f t="shared" si="0"/>
        <v>9.9499999999999993</v>
      </c>
      <c r="G10" s="156">
        <f t="shared" si="0"/>
        <v>9.66</v>
      </c>
      <c r="H10" s="157">
        <f t="shared" si="0"/>
        <v>9.69</v>
      </c>
      <c r="I10" s="157">
        <f t="shared" si="0"/>
        <v>9.9</v>
      </c>
      <c r="J10" s="158">
        <f t="shared" si="0"/>
        <v>9.86</v>
      </c>
      <c r="K10" s="156">
        <v>11.51</v>
      </c>
      <c r="L10" s="157">
        <v>10.91</v>
      </c>
      <c r="M10" s="157">
        <v>11.1</v>
      </c>
      <c r="N10" s="158">
        <v>10.47</v>
      </c>
    </row>
    <row r="11" spans="1:21">
      <c r="A11" s="241" t="s">
        <v>99</v>
      </c>
      <c r="B11" s="249">
        <v>8.2050000000000001</v>
      </c>
      <c r="C11" s="249">
        <f>D8</f>
        <v>7.77</v>
      </c>
      <c r="D11" s="250">
        <f t="shared" ref="D11:J11" si="1">E8</f>
        <v>8.16</v>
      </c>
      <c r="E11" s="250">
        <f t="shared" si="1"/>
        <v>8.18</v>
      </c>
      <c r="F11" s="251">
        <f t="shared" si="1"/>
        <v>8.69</v>
      </c>
      <c r="G11" s="249">
        <f t="shared" si="1"/>
        <v>8.6</v>
      </c>
      <c r="H11" s="250">
        <f t="shared" si="1"/>
        <v>8.52</v>
      </c>
      <c r="I11" s="250">
        <f t="shared" si="1"/>
        <v>9.09</v>
      </c>
      <c r="J11" s="251">
        <f t="shared" si="1"/>
        <v>8.7799999999999994</v>
      </c>
      <c r="K11" s="249">
        <v>10.51</v>
      </c>
      <c r="L11" s="250">
        <v>9.74</v>
      </c>
      <c r="M11" s="250">
        <v>9.48</v>
      </c>
      <c r="N11" s="251">
        <v>8.5299999999999994</v>
      </c>
    </row>
    <row r="12" spans="1:21" s="87" customFormat="1">
      <c r="A12" s="88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Q12" s="92" t="s">
        <v>228</v>
      </c>
      <c r="R12" s="92" t="s">
        <v>228</v>
      </c>
      <c r="T12" s="92"/>
      <c r="U12" s="92"/>
    </row>
    <row r="13" spans="1:21" s="87" customFormat="1">
      <c r="A13" s="88" t="s">
        <v>229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Q13" s="92" t="s">
        <v>230</v>
      </c>
      <c r="R13" s="92" t="s">
        <v>231</v>
      </c>
      <c r="T13" s="92"/>
      <c r="U13" s="92"/>
    </row>
    <row r="14" spans="1:21" s="87" customFormat="1">
      <c r="A14" s="88" t="s">
        <v>100</v>
      </c>
      <c r="B14" s="88">
        <v>1147</v>
      </c>
      <c r="C14" s="88">
        <v>1515</v>
      </c>
      <c r="D14" s="88">
        <v>1585</v>
      </c>
      <c r="E14" s="88">
        <v>1579</v>
      </c>
      <c r="F14" s="88">
        <v>1399</v>
      </c>
      <c r="G14" s="88">
        <v>1464</v>
      </c>
      <c r="H14" s="88">
        <v>1345</v>
      </c>
      <c r="I14" s="88">
        <v>1430</v>
      </c>
      <c r="J14" s="88">
        <v>1458</v>
      </c>
      <c r="K14" s="88">
        <v>1915</v>
      </c>
      <c r="L14" s="88">
        <v>1746</v>
      </c>
      <c r="M14" s="88">
        <v>1557</v>
      </c>
      <c r="N14" s="88">
        <v>1470</v>
      </c>
      <c r="Q14" s="91">
        <f>M14/I14-1</f>
        <v>8.8811188811188879E-2</v>
      </c>
      <c r="R14" s="91">
        <f>M14/L14-1</f>
        <v>-0.10824742268041232</v>
      </c>
      <c r="T14" s="91"/>
      <c r="U14" s="91"/>
    </row>
    <row r="15" spans="1:21" s="87" customFormat="1">
      <c r="A15" s="88" t="s">
        <v>101</v>
      </c>
      <c r="B15" s="88"/>
      <c r="C15" s="88">
        <v>1188</v>
      </c>
      <c r="D15" s="88">
        <v>1144</v>
      </c>
      <c r="E15" s="88">
        <v>1105</v>
      </c>
      <c r="F15" s="88">
        <v>1146</v>
      </c>
      <c r="G15" s="88">
        <v>1104</v>
      </c>
      <c r="H15" s="88">
        <v>1111</v>
      </c>
      <c r="I15" s="88">
        <v>1224</v>
      </c>
      <c r="J15" s="88">
        <v>1332</v>
      </c>
      <c r="K15" s="88">
        <v>1591</v>
      </c>
      <c r="L15" s="88">
        <v>1095</v>
      </c>
      <c r="M15" s="88">
        <v>1102</v>
      </c>
      <c r="N15" s="88">
        <v>1229</v>
      </c>
      <c r="Q15" s="91">
        <f>M15/I15-1</f>
        <v>-9.9673202614379064E-2</v>
      </c>
      <c r="R15" s="91">
        <f>M15/L15-1</f>
        <v>6.3926940639269514E-3</v>
      </c>
      <c r="T15" s="91"/>
      <c r="U15" s="91"/>
    </row>
    <row r="16" spans="1:21" s="87" customFormat="1">
      <c r="A16" s="88" t="s">
        <v>14</v>
      </c>
      <c r="B16" s="88"/>
      <c r="C16" s="88">
        <v>820</v>
      </c>
      <c r="D16" s="88">
        <v>1073</v>
      </c>
      <c r="E16" s="88">
        <v>1112</v>
      </c>
      <c r="F16" s="88">
        <v>1326</v>
      </c>
      <c r="G16" s="88">
        <v>1039</v>
      </c>
      <c r="H16" s="88">
        <v>1230</v>
      </c>
      <c r="I16" s="88">
        <v>1140</v>
      </c>
      <c r="J16" s="88">
        <v>1304</v>
      </c>
      <c r="K16" s="88">
        <v>1134</v>
      </c>
      <c r="L16" s="88">
        <v>1264</v>
      </c>
      <c r="M16" s="88">
        <v>1291</v>
      </c>
      <c r="N16" s="88">
        <v>1316</v>
      </c>
      <c r="Q16" s="91"/>
      <c r="R16" s="91"/>
    </row>
    <row r="17" spans="1:23" s="87" customFormat="1">
      <c r="U17" s="17"/>
      <c r="V17" s="17"/>
      <c r="W17" s="90"/>
    </row>
    <row r="18" spans="1:23" s="88" customFormat="1" ht="11.25">
      <c r="A18" s="88" t="s">
        <v>232</v>
      </c>
      <c r="C18" s="88">
        <f>B14+C15-C16-C14</f>
        <v>0</v>
      </c>
      <c r="D18" s="88">
        <f>C14+D15-D16-D14</f>
        <v>1</v>
      </c>
      <c r="E18" s="88">
        <f t="shared" ref="E18:L18" si="2">D14+E15-E16-E14</f>
        <v>-1</v>
      </c>
      <c r="F18" s="88">
        <f t="shared" si="2"/>
        <v>0</v>
      </c>
      <c r="G18" s="88">
        <f t="shared" si="2"/>
        <v>0</v>
      </c>
      <c r="H18" s="88">
        <f t="shared" si="2"/>
        <v>0</v>
      </c>
      <c r="I18" s="88">
        <f t="shared" si="2"/>
        <v>-1</v>
      </c>
      <c r="J18" s="88">
        <f t="shared" si="2"/>
        <v>0</v>
      </c>
      <c r="K18" s="88">
        <f t="shared" si="2"/>
        <v>0</v>
      </c>
      <c r="L18" s="88">
        <f t="shared" si="2"/>
        <v>0</v>
      </c>
      <c r="M18" s="88">
        <f>L14+M15-M16-M14</f>
        <v>0</v>
      </c>
      <c r="N18" s="88">
        <f>M14+N15-N16-N14</f>
        <v>0</v>
      </c>
    </row>
    <row r="19" spans="1:23" s="87" customFormat="1"/>
    <row r="20" spans="1:23" s="87" customFormat="1">
      <c r="Q20" s="92" t="s">
        <v>228</v>
      </c>
      <c r="R20" s="92" t="s">
        <v>228</v>
      </c>
    </row>
    <row r="21" spans="1:23" s="87" customFormat="1">
      <c r="A21" s="88" t="s">
        <v>233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Q21" s="92" t="s">
        <v>230</v>
      </c>
      <c r="R21" s="92" t="s">
        <v>231</v>
      </c>
    </row>
    <row r="22" spans="1:23" s="87" customFormat="1">
      <c r="A22" s="88" t="s">
        <v>100</v>
      </c>
      <c r="B22" s="88">
        <f>B14/B10</f>
        <v>116.56148694653619</v>
      </c>
      <c r="C22" s="88">
        <f>C14/C10</f>
        <v>157.15767634854771</v>
      </c>
      <c r="D22" s="88">
        <f t="shared" ref="D22:K22" si="3">D14/D10</f>
        <v>166.66666666666666</v>
      </c>
      <c r="E22" s="88">
        <f t="shared" si="3"/>
        <v>166.73706441393875</v>
      </c>
      <c r="F22" s="88">
        <f t="shared" si="3"/>
        <v>140.6030150753769</v>
      </c>
      <c r="G22" s="88">
        <f t="shared" si="3"/>
        <v>151.55279503105589</v>
      </c>
      <c r="H22" s="88">
        <f t="shared" si="3"/>
        <v>138.80288957688339</v>
      </c>
      <c r="I22" s="88">
        <f t="shared" si="3"/>
        <v>144.44444444444443</v>
      </c>
      <c r="J22" s="88">
        <f t="shared" si="3"/>
        <v>147.87018255578093</v>
      </c>
      <c r="K22" s="88">
        <f t="shared" si="3"/>
        <v>166.37706342311034</v>
      </c>
      <c r="L22" s="88">
        <f t="shared" ref="L22" si="4">L14/L10</f>
        <v>160.03666361136573</v>
      </c>
      <c r="M22" s="88">
        <f t="shared" ref="M22:N22" si="5">M14/M10</f>
        <v>140.27027027027029</v>
      </c>
      <c r="N22" s="88">
        <f t="shared" si="5"/>
        <v>140.40114613180515</v>
      </c>
      <c r="P22" s="90"/>
      <c r="Q22" s="91">
        <f>M22/I22-1</f>
        <v>-2.8898128898128705E-2</v>
      </c>
      <c r="R22" s="91">
        <f>M22/L22-1</f>
        <v>-0.12351165598588276</v>
      </c>
    </row>
    <row r="23" spans="1:23" s="87" customFormat="1">
      <c r="A23" s="88" t="s">
        <v>101</v>
      </c>
      <c r="B23" s="88"/>
      <c r="C23" s="88">
        <f>-B22+C24+C22</f>
        <v>125.74676053389105</v>
      </c>
      <c r="D23" s="88">
        <f t="shared" ref="D23:K23" si="6">-C22+D24+D22</f>
        <v>121.86501126052731</v>
      </c>
      <c r="E23" s="88">
        <f t="shared" si="6"/>
        <v>116.14555432347251</v>
      </c>
      <c r="F23" s="88">
        <f t="shared" si="6"/>
        <v>111.56065471128238</v>
      </c>
      <c r="G23" s="88">
        <f t="shared" si="6"/>
        <v>117.62329124931348</v>
      </c>
      <c r="H23" s="88">
        <f t="shared" si="6"/>
        <v>113.7933044223707</v>
      </c>
      <c r="I23" s="88">
        <f t="shared" si="6"/>
        <v>121.3775954766981</v>
      </c>
      <c r="J23" s="88">
        <f t="shared" si="6"/>
        <v>132.66260629765961</v>
      </c>
      <c r="K23" s="88">
        <f t="shared" si="6"/>
        <v>126.9198827793753</v>
      </c>
      <c r="L23" s="88">
        <f>-K22+L24+L22</f>
        <v>108.36014465286519</v>
      </c>
      <c r="M23" s="88">
        <f>-L22+M24+M22</f>
        <v>101.22704620904514</v>
      </c>
      <c r="N23" s="88">
        <f>-M22+N24+N22</f>
        <v>122.43570857528951</v>
      </c>
      <c r="Q23" s="91">
        <f>M23/I23-1</f>
        <v>-0.16601539343825145</v>
      </c>
      <c r="R23" s="91">
        <f>M23/L23-1</f>
        <v>-6.5827693998297354E-2</v>
      </c>
    </row>
    <row r="24" spans="1:23" s="87" customFormat="1">
      <c r="A24" s="88" t="s">
        <v>14</v>
      </c>
      <c r="B24" s="88"/>
      <c r="C24" s="88">
        <f>C16/C4</f>
        <v>85.150571131879531</v>
      </c>
      <c r="D24" s="88">
        <f t="shared" ref="D24:K24" si="7">D16/D4</f>
        <v>112.35602094240836</v>
      </c>
      <c r="E24" s="88">
        <f t="shared" si="7"/>
        <v>116.07515657620041</v>
      </c>
      <c r="F24" s="88">
        <f t="shared" si="7"/>
        <v>137.69470404984423</v>
      </c>
      <c r="G24" s="88">
        <f t="shared" si="7"/>
        <v>106.67351129363449</v>
      </c>
      <c r="H24" s="88">
        <f t="shared" si="7"/>
        <v>126.5432098765432</v>
      </c>
      <c r="I24" s="88">
        <f t="shared" si="7"/>
        <v>115.73604060913706</v>
      </c>
      <c r="J24" s="88">
        <f t="shared" si="7"/>
        <v>129.23686818632311</v>
      </c>
      <c r="K24" s="88">
        <f t="shared" si="7"/>
        <v>108.41300191204589</v>
      </c>
      <c r="L24" s="88">
        <f t="shared" ref="L24" si="8">L16/L4</f>
        <v>114.70054446460981</v>
      </c>
      <c r="M24" s="88">
        <f t="shared" ref="M24:N24" si="9">M16/M4</f>
        <v>120.99343955014058</v>
      </c>
      <c r="N24" s="88">
        <f t="shared" si="9"/>
        <v>122.30483271375465</v>
      </c>
      <c r="Q24" s="91"/>
      <c r="R24" s="91"/>
    </row>
    <row r="25" spans="1:23" s="87" customFormat="1"/>
    <row r="26" spans="1:23" s="88" customFormat="1" ht="11.25">
      <c r="A26" s="88" t="s">
        <v>232</v>
      </c>
      <c r="C26" s="88">
        <f>B22+C23-C24-C22</f>
        <v>0</v>
      </c>
      <c r="D26" s="88">
        <f>C22+D23-D24-D22</f>
        <v>0</v>
      </c>
      <c r="E26" s="88">
        <f t="shared" ref="E26:L26" si="10">D22+E23-E24-E22</f>
        <v>0</v>
      </c>
      <c r="F26" s="88">
        <f t="shared" si="10"/>
        <v>0</v>
      </c>
      <c r="G26" s="88">
        <f t="shared" si="10"/>
        <v>0</v>
      </c>
      <c r="H26" s="88">
        <f t="shared" si="10"/>
        <v>0</v>
      </c>
      <c r="I26" s="88">
        <f t="shared" si="10"/>
        <v>0</v>
      </c>
      <c r="J26" s="88">
        <f t="shared" si="10"/>
        <v>0</v>
      </c>
      <c r="K26" s="88">
        <f t="shared" si="10"/>
        <v>0</v>
      </c>
      <c r="L26" s="88">
        <f t="shared" si="10"/>
        <v>0</v>
      </c>
      <c r="M26" s="88">
        <f>K22+M23-M24-M22</f>
        <v>6.3403998117446179</v>
      </c>
      <c r="N26" s="88">
        <f>L22+N23-N24-N22</f>
        <v>19.766393341095409</v>
      </c>
      <c r="S26" s="93"/>
    </row>
    <row r="27" spans="1:23" s="87" customFormat="1"/>
    <row r="28" spans="1:23" s="87" customFormat="1"/>
    <row r="29" spans="1:23" s="87" customFormat="1">
      <c r="A29" s="89" t="s">
        <v>234</v>
      </c>
      <c r="Q29" s="92"/>
      <c r="R29" s="92"/>
    </row>
    <row r="30" spans="1:23" s="87" customFormat="1">
      <c r="A30" s="89" t="s">
        <v>235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Q30" s="92"/>
      <c r="R30" s="92"/>
    </row>
    <row r="31" spans="1:23" s="87" customFormat="1">
      <c r="A31" s="89" t="s">
        <v>124</v>
      </c>
      <c r="B31" s="16"/>
      <c r="C31" s="16"/>
      <c r="D31" s="16"/>
      <c r="E31" s="16"/>
      <c r="F31" s="16"/>
      <c r="G31" s="16">
        <v>88.7</v>
      </c>
      <c r="H31" s="16">
        <v>79.8</v>
      </c>
      <c r="I31" s="16">
        <v>91.2</v>
      </c>
      <c r="J31" s="16">
        <v>94</v>
      </c>
      <c r="K31" s="16">
        <v>108.9</v>
      </c>
      <c r="L31" s="16">
        <v>96.3</v>
      </c>
      <c r="M31" s="16">
        <v>83.9</v>
      </c>
      <c r="Q31" s="91"/>
      <c r="R31" s="91"/>
      <c r="T31" s="87" t="s">
        <v>236</v>
      </c>
    </row>
    <row r="32" spans="1:23" s="87" customFormat="1">
      <c r="A32" s="89" t="s">
        <v>27</v>
      </c>
      <c r="B32" s="16"/>
      <c r="C32" s="16"/>
      <c r="D32" s="16"/>
      <c r="E32" s="16"/>
      <c r="F32" s="16"/>
      <c r="G32" s="16">
        <v>62.9</v>
      </c>
      <c r="H32" s="16">
        <v>59.8</v>
      </c>
      <c r="I32" s="16">
        <v>55.5</v>
      </c>
      <c r="J32" s="16">
        <v>57.2</v>
      </c>
      <c r="K32" s="16">
        <v>61</v>
      </c>
      <c r="L32" s="16">
        <v>63.7</v>
      </c>
      <c r="M32" s="16">
        <v>56.4</v>
      </c>
      <c r="Q32" s="91"/>
      <c r="R32" s="91"/>
      <c r="T32" s="87" t="s">
        <v>237</v>
      </c>
      <c r="V32" s="87">
        <f>I14</f>
        <v>1430</v>
      </c>
    </row>
    <row r="33" spans="1:22" s="87" customFormat="1">
      <c r="A33" s="89" t="s">
        <v>238</v>
      </c>
      <c r="B33" s="16"/>
      <c r="C33" s="16"/>
      <c r="D33" s="16"/>
      <c r="E33" s="16"/>
      <c r="F33" s="16"/>
      <c r="G33" s="16"/>
      <c r="H33" s="16"/>
      <c r="I33" s="16">
        <f>-25/9.8953</f>
        <v>-2.5264519519367781</v>
      </c>
      <c r="J33" s="16"/>
      <c r="K33" s="16"/>
      <c r="L33" s="16"/>
      <c r="M33" s="16"/>
      <c r="Q33" s="91"/>
      <c r="R33" s="91"/>
      <c r="T33" s="87" t="s">
        <v>239</v>
      </c>
      <c r="V33" s="87">
        <f>M14</f>
        <v>1557</v>
      </c>
    </row>
    <row r="34" spans="1:22" s="87" customFormat="1">
      <c r="A34" s="167" t="s">
        <v>13</v>
      </c>
      <c r="B34" s="16"/>
      <c r="C34" s="16"/>
      <c r="D34" s="16"/>
      <c r="E34" s="16"/>
      <c r="F34" s="16"/>
      <c r="G34" s="16">
        <f>SUM(G31:G33)</f>
        <v>151.6</v>
      </c>
      <c r="H34" s="16">
        <f t="shared" ref="H34:M34" si="11">SUM(H31:H33)</f>
        <v>139.6</v>
      </c>
      <c r="I34" s="16">
        <f t="shared" si="11"/>
        <v>144.1735480480632</v>
      </c>
      <c r="J34" s="16">
        <f t="shared" si="11"/>
        <v>151.19999999999999</v>
      </c>
      <c r="K34" s="16">
        <f t="shared" si="11"/>
        <v>169.9</v>
      </c>
      <c r="L34" s="16">
        <f t="shared" si="11"/>
        <v>160</v>
      </c>
      <c r="M34" s="16">
        <f t="shared" si="11"/>
        <v>140.30000000000001</v>
      </c>
      <c r="Q34" s="91">
        <f>M34/I34-1</f>
        <v>-2.6867258942478545E-2</v>
      </c>
      <c r="R34" s="91">
        <f>M34/L34-1</f>
        <v>-0.12312499999999993</v>
      </c>
      <c r="T34" s="87" t="s">
        <v>240</v>
      </c>
      <c r="V34" s="90">
        <f>V33/V32-1</f>
        <v>8.8811188811188879E-2</v>
      </c>
    </row>
    <row r="35" spans="1:22" s="87" customFormat="1">
      <c r="A35" s="89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Q35" s="91"/>
      <c r="R35" s="91"/>
      <c r="T35" s="87" t="s">
        <v>241</v>
      </c>
      <c r="V35" s="90">
        <f>M10/I10-1</f>
        <v>0.1212121212121211</v>
      </c>
    </row>
    <row r="36" spans="1:22" s="87" customFormat="1">
      <c r="A36" s="89" t="s">
        <v>242</v>
      </c>
      <c r="B36" s="16"/>
      <c r="C36" s="16"/>
      <c r="D36" s="16"/>
      <c r="E36" s="16"/>
      <c r="F36" s="16"/>
      <c r="G36" s="16"/>
      <c r="H36" s="16"/>
      <c r="I36" s="16"/>
      <c r="J36" s="16"/>
      <c r="K36" s="170">
        <f>K34/G34-1</f>
        <v>0.12071240105540904</v>
      </c>
      <c r="L36" s="170">
        <f t="shared" ref="L36:M36" si="12">L34/H34-1</f>
        <v>0.14613180515759328</v>
      </c>
      <c r="M36" s="170">
        <f t="shared" si="12"/>
        <v>-2.6867258942478545E-2</v>
      </c>
      <c r="Q36" s="91"/>
      <c r="R36" s="91"/>
      <c r="T36" s="87" t="s">
        <v>243</v>
      </c>
      <c r="V36" s="90">
        <f>M11/I11-1</f>
        <v>4.2904290429042868E-2</v>
      </c>
    </row>
    <row r="37" spans="1:22" s="87" customFormat="1">
      <c r="A37" s="8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Q37" s="91"/>
      <c r="R37" s="91"/>
      <c r="T37" s="87" t="s">
        <v>244</v>
      </c>
      <c r="V37" s="90">
        <f>(V35+V36)/2</f>
        <v>8.2058205820581986E-2</v>
      </c>
    </row>
    <row r="38" spans="1:22" s="87" customFormat="1">
      <c r="A38" s="89" t="s">
        <v>245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Q38" s="92"/>
      <c r="R38" s="92"/>
      <c r="T38" s="87" t="s">
        <v>246</v>
      </c>
      <c r="V38" s="90">
        <f>V34-V37</f>
        <v>6.7529829906068928E-3</v>
      </c>
    </row>
    <row r="39" spans="1:22" s="87" customFormat="1">
      <c r="A39" s="89" t="s">
        <v>124</v>
      </c>
      <c r="B39" s="16"/>
      <c r="C39" s="16"/>
      <c r="D39" s="16"/>
      <c r="E39" s="16"/>
      <c r="F39" s="16"/>
      <c r="G39" s="16">
        <v>52.3</v>
      </c>
      <c r="H39" s="16">
        <f>107.53-52.3</f>
        <v>55.230000000000004</v>
      </c>
      <c r="I39" s="16">
        <f>175.13-107.53</f>
        <v>67.599999999999994</v>
      </c>
      <c r="J39" s="16">
        <f>17.37+18.03+31.87</f>
        <v>67.27000000000001</v>
      </c>
      <c r="K39" s="16">
        <v>61.03</v>
      </c>
      <c r="L39" s="16">
        <f>111.42-61</f>
        <v>50.42</v>
      </c>
      <c r="M39" s="16">
        <f>163.92-111.42</f>
        <v>52.499999999999986</v>
      </c>
      <c r="N39" s="16">
        <v>59.8</v>
      </c>
      <c r="Q39" s="91">
        <f>M39/I39-1</f>
        <v>-0.22337278106508895</v>
      </c>
      <c r="R39" s="91">
        <f>N39/J39-1</f>
        <v>-0.11104504236658264</v>
      </c>
      <c r="T39" s="169" t="s">
        <v>247</v>
      </c>
      <c r="U39" s="169"/>
    </row>
    <row r="40" spans="1:22" s="87" customFormat="1">
      <c r="A40" s="89" t="s">
        <v>27</v>
      </c>
      <c r="B40" s="16"/>
      <c r="C40" s="16"/>
      <c r="D40" s="16"/>
      <c r="E40" s="16"/>
      <c r="F40" s="16"/>
      <c r="G40" s="16">
        <v>41.44</v>
      </c>
      <c r="H40" s="16">
        <f>75.24-41.44</f>
        <v>33.799999999999997</v>
      </c>
      <c r="I40" s="16">
        <f>108.13-75.24</f>
        <v>32.89</v>
      </c>
      <c r="J40" s="16">
        <f>12.24+14.11+14.48</f>
        <v>40.83</v>
      </c>
      <c r="K40" s="16">
        <v>42.67</v>
      </c>
      <c r="L40" s="16">
        <f>72.96-42.67</f>
        <v>30.289999999999992</v>
      </c>
      <c r="M40" s="16">
        <f>98.86-72.97</f>
        <v>25.89</v>
      </c>
      <c r="N40" s="16">
        <v>32.1</v>
      </c>
      <c r="Q40" s="91">
        <f>M40/I40-1</f>
        <v>-0.21283064761325632</v>
      </c>
      <c r="R40" s="91">
        <f>N40/J40-1</f>
        <v>-0.21381337252020571</v>
      </c>
    </row>
    <row r="41" spans="1:22" s="87" customFormat="1">
      <c r="A41" s="89" t="s">
        <v>82</v>
      </c>
      <c r="B41" s="16"/>
      <c r="C41" s="16"/>
      <c r="D41" s="16"/>
      <c r="E41" s="16"/>
      <c r="F41" s="16"/>
      <c r="G41" s="16">
        <f t="shared" ref="G41:N41" si="13">SUM(G39:G40)</f>
        <v>93.74</v>
      </c>
      <c r="H41" s="16">
        <f t="shared" si="13"/>
        <v>89.03</v>
      </c>
      <c r="I41" s="16">
        <f t="shared" si="13"/>
        <v>100.49</v>
      </c>
      <c r="J41" s="16">
        <f t="shared" si="13"/>
        <v>108.10000000000001</v>
      </c>
      <c r="K41" s="16">
        <f t="shared" si="13"/>
        <v>103.7</v>
      </c>
      <c r="L41" s="16">
        <f t="shared" si="13"/>
        <v>80.709999999999994</v>
      </c>
      <c r="M41" s="16">
        <f t="shared" si="13"/>
        <v>78.389999999999986</v>
      </c>
      <c r="N41" s="16">
        <f t="shared" si="13"/>
        <v>91.9</v>
      </c>
      <c r="Q41" s="91"/>
      <c r="R41" s="91"/>
    </row>
    <row r="42" spans="1:22" s="87" customFormat="1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22" s="87" customFormat="1">
      <c r="A43" s="89" t="s">
        <v>248</v>
      </c>
      <c r="K43" s="170">
        <f>K41/J41-1</f>
        <v>-4.0703052728954692E-2</v>
      </c>
      <c r="L43" s="170">
        <f t="shared" ref="L43:M43" si="14">L41/K41-1</f>
        <v>-0.22169720347155264</v>
      </c>
      <c r="M43" s="170">
        <f t="shared" si="14"/>
        <v>-2.8744889109156291E-2</v>
      </c>
    </row>
    <row r="44" spans="1:22" s="87" customFormat="1">
      <c r="A44" s="89" t="s">
        <v>242</v>
      </c>
      <c r="K44" s="170">
        <f>K41/G41-1</f>
        <v>0.10625133347557081</v>
      </c>
      <c r="L44" s="170">
        <f t="shared" ref="L44:M44" si="15">L41/H41-1</f>
        <v>-9.3451645512748649E-2</v>
      </c>
      <c r="M44" s="170">
        <f t="shared" si="15"/>
        <v>-0.21992238033635192</v>
      </c>
    </row>
    <row r="45" spans="1:22" s="87" customFormat="1"/>
    <row r="46" spans="1:22" s="87" customFormat="1"/>
    <row r="47" spans="1:22" s="87" customFormat="1"/>
    <row r="48" spans="1:22" s="87" customFormat="1">
      <c r="A48" s="89" t="s">
        <v>249</v>
      </c>
    </row>
    <row r="49" spans="1:18" s="87" customFormat="1">
      <c r="A49" s="89" t="s">
        <v>250</v>
      </c>
      <c r="D49" s="89"/>
      <c r="K49" s="90">
        <f>R14-K36</f>
        <v>-0.22895982373582136</v>
      </c>
      <c r="L49" s="90"/>
      <c r="M49" s="90">
        <f>U14-M36</f>
        <v>2.6867258942478545E-2</v>
      </c>
    </row>
    <row r="50" spans="1:18" s="87" customFormat="1">
      <c r="A50" s="89" t="s">
        <v>251</v>
      </c>
      <c r="D50" s="89"/>
      <c r="K50" s="90">
        <f>R15-K44</f>
        <v>-9.9858639411643857E-2</v>
      </c>
      <c r="L50" s="90"/>
      <c r="M50" s="90">
        <f>U15-M44</f>
        <v>0.21992238033635192</v>
      </c>
    </row>
    <row r="51" spans="1:18" s="87" customFormat="1">
      <c r="A51" s="89" t="s">
        <v>252</v>
      </c>
      <c r="K51" s="87">
        <f>J14*K49</f>
        <v>-333.82342300682751</v>
      </c>
      <c r="M51" s="87">
        <f>K14*M49</f>
        <v>51.450800874846415</v>
      </c>
    </row>
    <row r="52" spans="1:18" s="87" customFormat="1">
      <c r="A52" s="89" t="s">
        <v>253</v>
      </c>
      <c r="B52" s="16"/>
      <c r="C52" s="16"/>
      <c r="D52" s="16"/>
      <c r="E52" s="16"/>
      <c r="F52" s="16"/>
      <c r="G52" s="16"/>
      <c r="H52" s="16"/>
      <c r="I52" s="16"/>
      <c r="J52" s="16"/>
      <c r="K52" s="87">
        <f>G15*K50</f>
        <v>-110.24393791045482</v>
      </c>
      <c r="M52" s="87">
        <f>H15*M50</f>
        <v>244.33376455368699</v>
      </c>
    </row>
    <row r="53" spans="1:18" s="87" customFormat="1"/>
    <row r="54" spans="1:18" s="87" customFormat="1"/>
    <row r="55" spans="1:18" s="87" customFormat="1"/>
    <row r="56" spans="1:18" s="87" customFormat="1">
      <c r="C56" s="89" t="s">
        <v>228</v>
      </c>
      <c r="I56" s="89"/>
    </row>
    <row r="57" spans="1:18" s="87" customFormat="1">
      <c r="A57" s="89" t="s">
        <v>254</v>
      </c>
      <c r="B57" s="16">
        <f>166.4-3.5</f>
        <v>162.9</v>
      </c>
      <c r="E57" s="89" t="s">
        <v>255</v>
      </c>
      <c r="I57" s="87">
        <f>I15</f>
        <v>1224</v>
      </c>
      <c r="P57" s="87" t="s">
        <v>236</v>
      </c>
    </row>
    <row r="58" spans="1:18" s="87" customFormat="1">
      <c r="A58" s="89" t="s">
        <v>256</v>
      </c>
      <c r="B58" s="16">
        <v>160</v>
      </c>
      <c r="C58" s="90">
        <f>B58/B57-1</f>
        <v>-1.7802332719459857E-2</v>
      </c>
      <c r="P58" s="87" t="s">
        <v>257</v>
      </c>
      <c r="R58" s="87">
        <f>I15</f>
        <v>1224</v>
      </c>
    </row>
    <row r="59" spans="1:18" s="87" customFormat="1">
      <c r="D59" s="90"/>
      <c r="E59" s="89" t="s">
        <v>258</v>
      </c>
      <c r="H59" s="87">
        <f>H14</f>
        <v>1345</v>
      </c>
      <c r="P59" s="87" t="s">
        <v>259</v>
      </c>
      <c r="R59" s="87">
        <f>M15</f>
        <v>1102</v>
      </c>
    </row>
    <row r="60" spans="1:18" s="87" customFormat="1">
      <c r="A60" s="89" t="s">
        <v>260</v>
      </c>
      <c r="B60" s="17">
        <v>11.51</v>
      </c>
      <c r="D60" s="90"/>
      <c r="E60" s="89" t="s">
        <v>261</v>
      </c>
      <c r="H60" s="17">
        <f>I7</f>
        <v>9.69</v>
      </c>
      <c r="P60" s="87" t="s">
        <v>240</v>
      </c>
      <c r="R60" s="90">
        <f>R59/R58-1</f>
        <v>-9.9673202614379064E-2</v>
      </c>
    </row>
    <row r="61" spans="1:18" s="87" customFormat="1">
      <c r="A61" s="89" t="s">
        <v>262</v>
      </c>
      <c r="B61" s="17">
        <v>10.91</v>
      </c>
      <c r="C61" s="90">
        <f>B61/B60-1</f>
        <v>-5.2128583840138965E-2</v>
      </c>
      <c r="D61" s="90"/>
      <c r="E61" s="89" t="s">
        <v>263</v>
      </c>
      <c r="H61" s="17">
        <f>I10</f>
        <v>9.9</v>
      </c>
      <c r="I61" s="87">
        <f>-(H59/H60)*(H61-H60)</f>
        <v>-29.14860681114563</v>
      </c>
      <c r="P61" s="87" t="s">
        <v>241</v>
      </c>
      <c r="R61" s="90">
        <f>M4/I4-1</f>
        <v>8.3248730964466944E-2</v>
      </c>
    </row>
    <row r="62" spans="1:18" s="87" customFormat="1">
      <c r="D62" s="90"/>
      <c r="P62" s="87" t="s">
        <v>243</v>
      </c>
      <c r="R62" s="90">
        <f>M5/I5-1</f>
        <v>3.0474040632054278E-2</v>
      </c>
    </row>
    <row r="63" spans="1:18" s="87" customFormat="1">
      <c r="A63" s="89" t="s">
        <v>264</v>
      </c>
      <c r="B63" s="17">
        <v>10.51</v>
      </c>
      <c r="D63" s="90"/>
      <c r="E63" s="163" t="s">
        <v>265</v>
      </c>
      <c r="F63" s="163"/>
      <c r="G63" s="163"/>
      <c r="H63" s="164"/>
      <c r="I63" s="163">
        <f>I57+I61</f>
        <v>1194.8513931888544</v>
      </c>
      <c r="P63" s="87" t="s">
        <v>266</v>
      </c>
      <c r="R63" s="90">
        <f>(R61*0.4+R62*0.6)</f>
        <v>5.1583916765019347E-2</v>
      </c>
    </row>
    <row r="64" spans="1:18" s="87" customFormat="1">
      <c r="A64" s="89" t="s">
        <v>267</v>
      </c>
      <c r="B64" s="17">
        <v>9.74</v>
      </c>
      <c r="C64" s="90">
        <f>B64/B63-1</f>
        <v>-7.3263558515699323E-2</v>
      </c>
      <c r="D64" s="90"/>
      <c r="E64" s="89"/>
      <c r="H64" s="17"/>
      <c r="I64" s="90"/>
      <c r="P64" s="87" t="s">
        <v>246</v>
      </c>
      <c r="R64" s="90">
        <f>R60-R63</f>
        <v>-0.1512571193793984</v>
      </c>
    </row>
    <row r="65" spans="1:18">
      <c r="E65" s="89" t="s">
        <v>268</v>
      </c>
      <c r="F65" s="87"/>
      <c r="G65" s="87"/>
      <c r="H65" s="87"/>
      <c r="I65" s="87">
        <f>M15</f>
        <v>1102</v>
      </c>
      <c r="P65" s="169" t="s">
        <v>269</v>
      </c>
      <c r="Q65" s="169"/>
      <c r="R65" s="169"/>
    </row>
    <row r="66" spans="1:18">
      <c r="A66" s="89" t="s">
        <v>270</v>
      </c>
      <c r="B66" s="87">
        <v>1915</v>
      </c>
      <c r="C66" s="87"/>
      <c r="E66" s="87"/>
      <c r="F66" s="87"/>
      <c r="G66" s="87"/>
      <c r="H66" s="87"/>
      <c r="I66" s="87"/>
    </row>
    <row r="67" spans="1:18">
      <c r="A67" s="89" t="s">
        <v>271</v>
      </c>
      <c r="B67" s="87">
        <v>1746</v>
      </c>
      <c r="C67" s="90">
        <f>B67/B66-1</f>
        <v>-8.8250652741514335E-2</v>
      </c>
      <c r="E67" s="89" t="s">
        <v>272</v>
      </c>
      <c r="F67" s="87"/>
      <c r="G67" s="87"/>
      <c r="H67" s="87">
        <f>L14</f>
        <v>1746</v>
      </c>
      <c r="I67" s="87"/>
    </row>
    <row r="68" spans="1:18">
      <c r="E68" s="89" t="s">
        <v>273</v>
      </c>
      <c r="F68" s="87"/>
      <c r="G68" s="87"/>
      <c r="H68" s="17">
        <f>M7</f>
        <v>10.91</v>
      </c>
      <c r="I68" s="87"/>
    </row>
    <row r="69" spans="1:18">
      <c r="A69" s="89" t="s">
        <v>274</v>
      </c>
      <c r="C69" s="162">
        <f>C58</f>
        <v>-1.7802332719459857E-2</v>
      </c>
      <c r="E69" s="89" t="s">
        <v>275</v>
      </c>
      <c r="F69" s="87"/>
      <c r="G69" s="87"/>
      <c r="H69" s="17">
        <f>M10</f>
        <v>11.1</v>
      </c>
      <c r="I69" s="87">
        <f>-(H67/H68)*(H69-H68)</f>
        <v>-30.406966086159407</v>
      </c>
    </row>
    <row r="71" spans="1:18">
      <c r="E71" s="163" t="s">
        <v>276</v>
      </c>
      <c r="F71" s="163"/>
      <c r="G71" s="163"/>
      <c r="H71" s="164"/>
      <c r="I71" s="163">
        <f>I65+I69</f>
        <v>1071.5930339138406</v>
      </c>
    </row>
    <row r="73" spans="1:18">
      <c r="E73" s="161" t="s">
        <v>277</v>
      </c>
      <c r="H73" s="168">
        <f>M4</f>
        <v>10.67</v>
      </c>
    </row>
    <row r="74" spans="1:18">
      <c r="E74" s="161" t="s">
        <v>278</v>
      </c>
      <c r="H74" s="168">
        <f>I4</f>
        <v>9.85</v>
      </c>
      <c r="I74" s="87">
        <f>-(1-H74/H73)*I71</f>
        <v>-82.352979176133971</v>
      </c>
    </row>
    <row r="76" spans="1:18">
      <c r="E76" s="163" t="s">
        <v>279</v>
      </c>
      <c r="F76" s="163"/>
      <c r="G76" s="163"/>
      <c r="H76" s="164"/>
      <c r="I76" s="163">
        <f>I71+I74</f>
        <v>989.2400547377066</v>
      </c>
    </row>
    <row r="78" spans="1:18">
      <c r="E78" s="161" t="s">
        <v>228</v>
      </c>
      <c r="I78" s="90">
        <f>I76/I63-1</f>
        <v>-0.17208109696587981</v>
      </c>
    </row>
  </sheetData>
  <phoneticPr fontId="10" type="noConversion"/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bcad49e-2305-4185-94a0-1501bd7694a9">
      <UserInfo>
        <DisplayName>Georgiana Radulescu</DisplayName>
        <AccountId>108</AccountId>
        <AccountType/>
      </UserInfo>
      <UserInfo>
        <DisplayName>Annlaug Kloven Moe</DisplayName>
        <AccountId>13</AccountId>
        <AccountType/>
      </UserInfo>
      <UserInfo>
        <DisplayName>Eva Sagemo</DisplayName>
        <AccountId>12</AccountId>
        <AccountType/>
      </UserInfo>
    </SharedWithUsers>
    <lcf76f155ced4ddcb4097134ff3c332f xmlns="79f9c740-adeb-4398-ae7a-5460a9009e2d">
      <Terms xmlns="http://schemas.microsoft.com/office/infopath/2007/PartnerControls"/>
    </lcf76f155ced4ddcb4097134ff3c332f>
    <TaxCatchAll xmlns="6bcad49e-2305-4185-94a0-1501bd7694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42BC5C4D01EE41884F6A2AEC11B5D1" ma:contentTypeVersion="16" ma:contentTypeDescription="Opprett et nytt dokument." ma:contentTypeScope="" ma:versionID="bd43d5e5b473b843ec5eff7062b274b2">
  <xsd:schema xmlns:xsd="http://www.w3.org/2001/XMLSchema" xmlns:xs="http://www.w3.org/2001/XMLSchema" xmlns:p="http://schemas.microsoft.com/office/2006/metadata/properties" xmlns:ns2="6bcad49e-2305-4185-94a0-1501bd7694a9" xmlns:ns3="79f9c740-adeb-4398-ae7a-5460a9009e2d" targetNamespace="http://schemas.microsoft.com/office/2006/metadata/properties" ma:root="true" ma:fieldsID="e3d303a6c58f843cc2af24bc5d06d215" ns2:_="" ns3:_="">
    <xsd:import namespace="6bcad49e-2305-4185-94a0-1501bd7694a9"/>
    <xsd:import namespace="79f9c740-adeb-4398-ae7a-5460a9009e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ad49e-2305-4185-94a0-1501bd7694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e6c026-1e8b-49fd-8e6b-9df83cc95bd1}" ma:internalName="TaxCatchAll" ma:showField="CatchAllData" ma:web="6bcad49e-2305-4185-94a0-1501bd7694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9c740-adeb-4398-ae7a-5460a900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c9e8762e-1626-4d03-8257-c0a84530f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552C3A-F64D-4503-A4C7-64B6DA47A495}"/>
</file>

<file path=customXml/itemProps2.xml><?xml version="1.0" encoding="utf-8"?>
<ds:datastoreItem xmlns:ds="http://schemas.openxmlformats.org/officeDocument/2006/customXml" ds:itemID="{4372843A-9E9C-40DB-BAA5-308DFB30C276}"/>
</file>

<file path=customXml/itemProps3.xml><?xml version="1.0" encoding="utf-8"?>
<ds:datastoreItem xmlns:ds="http://schemas.openxmlformats.org/officeDocument/2006/customXml" ds:itemID="{440780A3-8821-4AEE-9506-70D482C582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Tomra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wiggoj</dc:creator>
  <cp:keywords/>
  <dc:description/>
  <cp:lastModifiedBy/>
  <cp:revision/>
  <dcterms:created xsi:type="dcterms:W3CDTF">2006-07-12T08:13:16Z</dcterms:created>
  <dcterms:modified xsi:type="dcterms:W3CDTF">2023-03-10T05:19:12Z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0x0101008542BC5C4D01EE41884F6A2AEC11B5D1</vt:lpwstr>
  </property>
  <property fmtid="{D5CDD505-2E9C-101B-9397-08002B2CF9AE}" pid="3" name="MediaServiceImageTags">
    <vt:lpwstr/>
  </property>
</Properties>
</file>